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Planning and Analysis\Budget Department\20xx - Official Budget Files\2025 Budget\Supporting Docs and Analysis\Overview Section Support\"/>
    </mc:Choice>
  </mc:AlternateContent>
  <xr:revisionPtr revIDLastSave="0" documentId="8_{A2E5B3DE-5D3D-404F-B304-8A41FC61D22C}" xr6:coauthVersionLast="47" xr6:coauthVersionMax="47" xr10:uidLastSave="{00000000-0000-0000-0000-000000000000}"/>
  <bookViews>
    <workbookView xWindow="-108" yWindow="-108" windowWidth="23256" windowHeight="12576" xr2:uid="{75762957-D936-446B-BA6D-B1DB7481EDC7}"/>
  </bookViews>
  <sheets>
    <sheet name="OMF by Acct" sheetId="1" r:id="rId1"/>
    <sheet name="All Funds" sheetId="2" r:id="rId2"/>
  </sheets>
  <externalReferences>
    <externalReference r:id="rId3"/>
  </externalReferences>
  <definedNames>
    <definedName name="_xlnm._FilterDatabase" localSheetId="0" hidden="1">'OMF by Acct'!$A$10:$Z$10</definedName>
    <definedName name="NvsASD">"V2019-03-23"</definedName>
    <definedName name="NvsAutoDrillOk">"VN"</definedName>
    <definedName name="NvsElapsedTime">0.0000115740695036948</definedName>
    <definedName name="NvsEndTime">43547.5222800926</definedName>
    <definedName name="NvsInstLang">"VENG"</definedName>
    <definedName name="NvsInstSpec">"%,FDEPTID,TNTTA_DEPTID_ROLLUP,NALL_DEPTID"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"V00001"</definedName>
    <definedName name="NvsPanelEffdt">"V1901-01-01"</definedName>
    <definedName name="NvsPanelSetid">"V00001"</definedName>
    <definedName name="NvsReqBU">"V00001"</definedName>
    <definedName name="NvsReqBUOnly">"VY"</definedName>
    <definedName name="NvsTransLed">"VN"</definedName>
    <definedName name="NvsTreeASD">"V2019-03-23"</definedName>
    <definedName name="NvsValTbl.ACCOUNT">"GL_ACCOUNT_TBL"</definedName>
    <definedName name="NvsValTbl.DEPTID">"DEPARTMENT_TBL"</definedName>
    <definedName name="NvsValTbl.FUND_CODE">"FUND_TBL"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0" i="2" l="1"/>
  <c r="V92" i="2"/>
  <c r="T92" i="2"/>
  <c r="S92" i="2"/>
  <c r="Q92" i="2"/>
  <c r="D92" i="2"/>
  <c r="Q91" i="2"/>
  <c r="O91" i="2"/>
  <c r="K91" i="2"/>
  <c r="U90" i="2"/>
  <c r="T90" i="2"/>
  <c r="S90" i="2"/>
  <c r="R90" i="2"/>
  <c r="Q90" i="2"/>
  <c r="O90" i="2"/>
  <c r="L90" i="2"/>
  <c r="K90" i="2"/>
  <c r="J90" i="2"/>
  <c r="T89" i="2"/>
  <c r="S89" i="2"/>
  <c r="R89" i="2"/>
  <c r="Q89" i="2"/>
  <c r="O89" i="2"/>
  <c r="M89" i="2"/>
  <c r="L89" i="2"/>
  <c r="K89" i="2"/>
  <c r="J89" i="2"/>
  <c r="U89" i="2" s="1"/>
  <c r="W89" i="2" s="1"/>
  <c r="T88" i="2"/>
  <c r="S88" i="2"/>
  <c r="R88" i="2"/>
  <c r="U88" i="2" s="1"/>
  <c r="W88" i="2" s="1"/>
  <c r="Q88" i="2"/>
  <c r="O88" i="2"/>
  <c r="M88" i="2"/>
  <c r="L88" i="2"/>
  <c r="K88" i="2"/>
  <c r="J88" i="2"/>
  <c r="T87" i="2"/>
  <c r="S87" i="2"/>
  <c r="R87" i="2"/>
  <c r="Q87" i="2"/>
  <c r="O87" i="2"/>
  <c r="M87" i="2"/>
  <c r="L87" i="2"/>
  <c r="K87" i="2"/>
  <c r="J87" i="2"/>
  <c r="U87" i="2" s="1"/>
  <c r="W87" i="2" s="1"/>
  <c r="T86" i="2"/>
  <c r="S86" i="2"/>
  <c r="R86" i="2"/>
  <c r="Q86" i="2"/>
  <c r="O86" i="2"/>
  <c r="M86" i="2"/>
  <c r="L86" i="2"/>
  <c r="K86" i="2"/>
  <c r="J86" i="2"/>
  <c r="T85" i="2"/>
  <c r="S85" i="2"/>
  <c r="R85" i="2"/>
  <c r="Q85" i="2"/>
  <c r="O85" i="2"/>
  <c r="M85" i="2"/>
  <c r="L85" i="2"/>
  <c r="U85" i="2" s="1"/>
  <c r="W85" i="2" s="1"/>
  <c r="K85" i="2"/>
  <c r="J85" i="2"/>
  <c r="U84" i="2"/>
  <c r="R84" i="2"/>
  <c r="O84" i="2"/>
  <c r="M84" i="2"/>
  <c r="L84" i="2"/>
  <c r="K84" i="2"/>
  <c r="J84" i="2"/>
  <c r="H84" i="2"/>
  <c r="G84" i="2"/>
  <c r="F84" i="2"/>
  <c r="E84" i="2"/>
  <c r="O83" i="2"/>
  <c r="H83" i="2"/>
  <c r="E83" i="2"/>
  <c r="U83" i="2" s="1"/>
  <c r="W83" i="2" s="1"/>
  <c r="X83" i="2" s="1"/>
  <c r="R82" i="2"/>
  <c r="N82" i="2"/>
  <c r="K82" i="2"/>
  <c r="J82" i="2"/>
  <c r="H82" i="2"/>
  <c r="G82" i="2"/>
  <c r="F82" i="2"/>
  <c r="E82" i="2"/>
  <c r="R81" i="2"/>
  <c r="O81" i="2"/>
  <c r="M81" i="2"/>
  <c r="L81" i="2"/>
  <c r="K81" i="2"/>
  <c r="J81" i="2"/>
  <c r="H81" i="2"/>
  <c r="G81" i="2"/>
  <c r="F81" i="2"/>
  <c r="U81" i="2" s="1"/>
  <c r="W81" i="2" s="1"/>
  <c r="E81" i="2"/>
  <c r="R80" i="2"/>
  <c r="O80" i="2"/>
  <c r="M80" i="2"/>
  <c r="L80" i="2"/>
  <c r="K80" i="2"/>
  <c r="J80" i="2"/>
  <c r="H80" i="2"/>
  <c r="G80" i="2"/>
  <c r="F80" i="2"/>
  <c r="E80" i="2"/>
  <c r="R79" i="2"/>
  <c r="O79" i="2"/>
  <c r="M79" i="2"/>
  <c r="L79" i="2"/>
  <c r="K79" i="2"/>
  <c r="U79" i="2" s="1"/>
  <c r="W79" i="2" s="1"/>
  <c r="X79" i="2" s="1"/>
  <c r="J79" i="2"/>
  <c r="H79" i="2"/>
  <c r="G79" i="2"/>
  <c r="F79" i="2"/>
  <c r="E79" i="2"/>
  <c r="U78" i="2"/>
  <c r="W78" i="2" s="1"/>
  <c r="X78" i="2" s="1"/>
  <c r="R78" i="2"/>
  <c r="O78" i="2"/>
  <c r="M78" i="2"/>
  <c r="L78" i="2"/>
  <c r="K78" i="2"/>
  <c r="J78" i="2"/>
  <c r="H78" i="2"/>
  <c r="G78" i="2"/>
  <c r="F78" i="2"/>
  <c r="E78" i="2"/>
  <c r="R77" i="2"/>
  <c r="O77" i="2"/>
  <c r="M77" i="2"/>
  <c r="L77" i="2"/>
  <c r="K77" i="2"/>
  <c r="J77" i="2"/>
  <c r="H77" i="2"/>
  <c r="G77" i="2"/>
  <c r="F77" i="2"/>
  <c r="U77" i="2" s="1"/>
  <c r="E77" i="2"/>
  <c r="L76" i="2"/>
  <c r="K76" i="2"/>
  <c r="J76" i="2"/>
  <c r="H76" i="2"/>
  <c r="G76" i="2"/>
  <c r="F76" i="2"/>
  <c r="E76" i="2"/>
  <c r="P75" i="2"/>
  <c r="P92" i="2" s="1"/>
  <c r="J75" i="2"/>
  <c r="I75" i="2"/>
  <c r="G75" i="2"/>
  <c r="F75" i="2"/>
  <c r="E75" i="2"/>
  <c r="U75" i="2" s="1"/>
  <c r="W75" i="2" s="1"/>
  <c r="X75" i="2" s="1"/>
  <c r="R74" i="2"/>
  <c r="O74" i="2"/>
  <c r="M74" i="2"/>
  <c r="L74" i="2"/>
  <c r="K74" i="2"/>
  <c r="J74" i="2"/>
  <c r="H74" i="2"/>
  <c r="G74" i="2"/>
  <c r="F74" i="2"/>
  <c r="E74" i="2"/>
  <c r="R73" i="2"/>
  <c r="O73" i="2"/>
  <c r="M73" i="2"/>
  <c r="L73" i="2"/>
  <c r="K73" i="2"/>
  <c r="J73" i="2"/>
  <c r="H73" i="2"/>
  <c r="G73" i="2"/>
  <c r="F73" i="2"/>
  <c r="E73" i="2"/>
  <c r="R72" i="2"/>
  <c r="O72" i="2"/>
  <c r="M72" i="2"/>
  <c r="L72" i="2"/>
  <c r="K72" i="2"/>
  <c r="J72" i="2"/>
  <c r="H72" i="2"/>
  <c r="G72" i="2"/>
  <c r="F72" i="2"/>
  <c r="E72" i="2"/>
  <c r="O71" i="2"/>
  <c r="M71" i="2"/>
  <c r="L71" i="2"/>
  <c r="K71" i="2"/>
  <c r="J71" i="2"/>
  <c r="G71" i="2"/>
  <c r="F71" i="2"/>
  <c r="K70" i="2"/>
  <c r="J70" i="2"/>
  <c r="H70" i="2"/>
  <c r="G70" i="2"/>
  <c r="F70" i="2"/>
  <c r="E70" i="2"/>
  <c r="R69" i="2"/>
  <c r="K69" i="2"/>
  <c r="J69" i="2"/>
  <c r="F69" i="2"/>
  <c r="R68" i="2"/>
  <c r="O68" i="2"/>
  <c r="M68" i="2"/>
  <c r="L68" i="2"/>
  <c r="K68" i="2"/>
  <c r="J68" i="2"/>
  <c r="H68" i="2"/>
  <c r="G68" i="2"/>
  <c r="F68" i="2"/>
  <c r="E68" i="2"/>
  <c r="U68" i="2" s="1"/>
  <c r="W68" i="2" s="1"/>
  <c r="R67" i="2"/>
  <c r="O67" i="2"/>
  <c r="U67" i="2" s="1"/>
  <c r="M67" i="2"/>
  <c r="K67" i="2"/>
  <c r="J67" i="2"/>
  <c r="F67" i="2"/>
  <c r="E67" i="2"/>
  <c r="M66" i="2"/>
  <c r="L66" i="2"/>
  <c r="F66" i="2"/>
  <c r="E66" i="2"/>
  <c r="M65" i="2"/>
  <c r="L65" i="2"/>
  <c r="K65" i="2"/>
  <c r="J65" i="2"/>
  <c r="H65" i="2"/>
  <c r="G65" i="2"/>
  <c r="F65" i="2"/>
  <c r="E65" i="2"/>
  <c r="U65" i="2" s="1"/>
  <c r="W65" i="2" s="1"/>
  <c r="X65" i="2" s="1"/>
  <c r="W64" i="2"/>
  <c r="X64" i="2" s="1"/>
  <c r="R64" i="2"/>
  <c r="O64" i="2"/>
  <c r="R63" i="2"/>
  <c r="O63" i="2"/>
  <c r="M63" i="2"/>
  <c r="L63" i="2"/>
  <c r="K63" i="2"/>
  <c r="J63" i="2"/>
  <c r="H63" i="2"/>
  <c r="G63" i="2"/>
  <c r="F63" i="2"/>
  <c r="E63" i="2"/>
  <c r="U63" i="2" s="1"/>
  <c r="E62" i="2"/>
  <c r="L61" i="2"/>
  <c r="K61" i="2"/>
  <c r="J61" i="2"/>
  <c r="H61" i="2"/>
  <c r="R60" i="2"/>
  <c r="O60" i="2"/>
  <c r="R59" i="2"/>
  <c r="N59" i="2"/>
  <c r="H59" i="2"/>
  <c r="G59" i="2"/>
  <c r="F59" i="2"/>
  <c r="E59" i="2"/>
  <c r="H58" i="2"/>
  <c r="G58" i="2"/>
  <c r="F58" i="2"/>
  <c r="O57" i="2"/>
  <c r="M57" i="2"/>
  <c r="L57" i="2"/>
  <c r="K57" i="2"/>
  <c r="J57" i="2"/>
  <c r="H57" i="2"/>
  <c r="G57" i="2"/>
  <c r="F57" i="2"/>
  <c r="E57" i="2"/>
  <c r="R56" i="2"/>
  <c r="O56" i="2"/>
  <c r="R55" i="2"/>
  <c r="N55" i="2"/>
  <c r="L55" i="2"/>
  <c r="K55" i="2"/>
  <c r="J55" i="2"/>
  <c r="H55" i="2"/>
  <c r="G55" i="2"/>
  <c r="I54" i="2"/>
  <c r="F54" i="2"/>
  <c r="E54" i="2"/>
  <c r="O53" i="2"/>
  <c r="U53" i="2" s="1"/>
  <c r="W53" i="2" s="1"/>
  <c r="X53" i="2" s="1"/>
  <c r="N53" i="2"/>
  <c r="L53" i="2"/>
  <c r="R52" i="2"/>
  <c r="O52" i="2"/>
  <c r="M52" i="2"/>
  <c r="L52" i="2"/>
  <c r="F52" i="2"/>
  <c r="O51" i="2"/>
  <c r="N51" i="2"/>
  <c r="M51" i="2"/>
  <c r="F51" i="2"/>
  <c r="R50" i="2"/>
  <c r="O50" i="2"/>
  <c r="M50" i="2"/>
  <c r="J50" i="2"/>
  <c r="F50" i="2"/>
  <c r="E50" i="2"/>
  <c r="U50" i="2" s="1"/>
  <c r="W50" i="2" s="1"/>
  <c r="R49" i="2"/>
  <c r="O49" i="2"/>
  <c r="M49" i="2"/>
  <c r="L49" i="2"/>
  <c r="F49" i="2"/>
  <c r="R48" i="2"/>
  <c r="O47" i="2"/>
  <c r="G47" i="2"/>
  <c r="O46" i="2"/>
  <c r="M46" i="2"/>
  <c r="L46" i="2"/>
  <c r="K46" i="2"/>
  <c r="J46" i="2"/>
  <c r="G46" i="2"/>
  <c r="L45" i="2"/>
  <c r="G45" i="2"/>
  <c r="O44" i="2"/>
  <c r="M44" i="2"/>
  <c r="L44" i="2"/>
  <c r="K44" i="2"/>
  <c r="H44" i="2"/>
  <c r="G44" i="2"/>
  <c r="L43" i="2"/>
  <c r="J43" i="2"/>
  <c r="H43" i="2"/>
  <c r="E43" i="2"/>
  <c r="L42" i="2"/>
  <c r="K42" i="2"/>
  <c r="F42" i="2"/>
  <c r="E42" i="2"/>
  <c r="O41" i="2"/>
  <c r="M41" i="2"/>
  <c r="L41" i="2"/>
  <c r="K41" i="2"/>
  <c r="J41" i="2"/>
  <c r="H41" i="2"/>
  <c r="F41" i="2"/>
  <c r="M40" i="2"/>
  <c r="L40" i="2"/>
  <c r="K40" i="2"/>
  <c r="J40" i="2"/>
  <c r="H40" i="2"/>
  <c r="G40" i="2"/>
  <c r="F40" i="2"/>
  <c r="E40" i="2"/>
  <c r="X39" i="2"/>
  <c r="R39" i="2"/>
  <c r="R38" i="2"/>
  <c r="U38" i="2" s="1"/>
  <c r="W38" i="2" s="1"/>
  <c r="X38" i="2" s="1"/>
  <c r="O38" i="2"/>
  <c r="M38" i="2"/>
  <c r="L38" i="2"/>
  <c r="K38" i="2"/>
  <c r="J38" i="2"/>
  <c r="H38" i="2"/>
  <c r="R37" i="2"/>
  <c r="O37" i="2"/>
  <c r="M37" i="2"/>
  <c r="L37" i="2"/>
  <c r="K37" i="2"/>
  <c r="J37" i="2"/>
  <c r="H37" i="2"/>
  <c r="G37" i="2"/>
  <c r="F37" i="2"/>
  <c r="E37" i="2"/>
  <c r="U37" i="2" s="1"/>
  <c r="W37" i="2" s="1"/>
  <c r="X37" i="2" s="1"/>
  <c r="R36" i="2"/>
  <c r="U36" i="2" s="1"/>
  <c r="W36" i="2" s="1"/>
  <c r="X36" i="2" s="1"/>
  <c r="O36" i="2"/>
  <c r="M36" i="2"/>
  <c r="L36" i="2"/>
  <c r="K36" i="2"/>
  <c r="J36" i="2"/>
  <c r="H36" i="2"/>
  <c r="G36" i="2"/>
  <c r="F36" i="2"/>
  <c r="E36" i="2"/>
  <c r="R35" i="2"/>
  <c r="O35" i="2"/>
  <c r="M35" i="2"/>
  <c r="L35" i="2"/>
  <c r="K35" i="2"/>
  <c r="J35" i="2"/>
  <c r="H35" i="2"/>
  <c r="G35" i="2"/>
  <c r="F35" i="2"/>
  <c r="E35" i="2"/>
  <c r="U35" i="2" s="1"/>
  <c r="W35" i="2" s="1"/>
  <c r="X35" i="2" s="1"/>
  <c r="R34" i="2"/>
  <c r="O34" i="2"/>
  <c r="M34" i="2"/>
  <c r="L34" i="2"/>
  <c r="K34" i="2"/>
  <c r="J34" i="2"/>
  <c r="H34" i="2"/>
  <c r="G34" i="2"/>
  <c r="F34" i="2"/>
  <c r="E34" i="2"/>
  <c r="R33" i="2"/>
  <c r="O33" i="2"/>
  <c r="M33" i="2"/>
  <c r="L33" i="2"/>
  <c r="K33" i="2"/>
  <c r="G33" i="2"/>
  <c r="R32" i="2"/>
  <c r="U32" i="2" s="1"/>
  <c r="W32" i="2" s="1"/>
  <c r="O32" i="2"/>
  <c r="M32" i="2"/>
  <c r="L32" i="2"/>
  <c r="K32" i="2"/>
  <c r="J32" i="2"/>
  <c r="H32" i="2"/>
  <c r="G32" i="2"/>
  <c r="F32" i="2"/>
  <c r="E32" i="2"/>
  <c r="R31" i="2"/>
  <c r="O31" i="2"/>
  <c r="M31" i="2"/>
  <c r="L31" i="2"/>
  <c r="K31" i="2"/>
  <c r="J31" i="2"/>
  <c r="H31" i="2"/>
  <c r="G31" i="2"/>
  <c r="U31" i="2" s="1"/>
  <c r="W31" i="2" s="1"/>
  <c r="X31" i="2" s="1"/>
  <c r="F31" i="2"/>
  <c r="E31" i="2"/>
  <c r="R30" i="2"/>
  <c r="O30" i="2"/>
  <c r="M30" i="2"/>
  <c r="L30" i="2"/>
  <c r="K30" i="2"/>
  <c r="J30" i="2"/>
  <c r="H30" i="2"/>
  <c r="G30" i="2"/>
  <c r="F30" i="2"/>
  <c r="E30" i="2"/>
  <c r="R29" i="2"/>
  <c r="O29" i="2"/>
  <c r="M29" i="2"/>
  <c r="L29" i="2"/>
  <c r="R28" i="2"/>
  <c r="O28" i="2"/>
  <c r="K28" i="2"/>
  <c r="G28" i="2"/>
  <c r="F28" i="2"/>
  <c r="E28" i="2"/>
  <c r="U28" i="2" s="1"/>
  <c r="W28" i="2" s="1"/>
  <c r="M27" i="2"/>
  <c r="H27" i="2"/>
  <c r="O26" i="2"/>
  <c r="M26" i="2"/>
  <c r="L26" i="2"/>
  <c r="K26" i="2"/>
  <c r="F26" i="2"/>
  <c r="E26" i="2"/>
  <c r="R25" i="2"/>
  <c r="O25" i="2"/>
  <c r="M25" i="2"/>
  <c r="U25" i="2" s="1"/>
  <c r="L25" i="2"/>
  <c r="K25" i="2"/>
  <c r="J25" i="2"/>
  <c r="H25" i="2"/>
  <c r="G25" i="2"/>
  <c r="F25" i="2"/>
  <c r="E25" i="2"/>
  <c r="R24" i="2"/>
  <c r="O24" i="2"/>
  <c r="M24" i="2"/>
  <c r="L24" i="2"/>
  <c r="K24" i="2"/>
  <c r="F24" i="2"/>
  <c r="E24" i="2"/>
  <c r="R23" i="2"/>
  <c r="O22" i="2"/>
  <c r="M22" i="2"/>
  <c r="L22" i="2"/>
  <c r="J22" i="2"/>
  <c r="E22" i="2"/>
  <c r="M21" i="2"/>
  <c r="K21" i="2"/>
  <c r="G20" i="2"/>
  <c r="R19" i="2"/>
  <c r="O19" i="2"/>
  <c r="M19" i="2"/>
  <c r="L19" i="2"/>
  <c r="J19" i="2"/>
  <c r="R18" i="2"/>
  <c r="O18" i="2"/>
  <c r="M18" i="2"/>
  <c r="J18" i="2"/>
  <c r="F18" i="2"/>
  <c r="E18" i="2"/>
  <c r="R17" i="2"/>
  <c r="O17" i="2"/>
  <c r="M17" i="2"/>
  <c r="L17" i="2"/>
  <c r="K17" i="2"/>
  <c r="J17" i="2"/>
  <c r="M16" i="2"/>
  <c r="J16" i="2"/>
  <c r="I16" i="2"/>
  <c r="I92" i="2" s="1"/>
  <c r="H16" i="2"/>
  <c r="G16" i="2"/>
  <c r="R15" i="2"/>
  <c r="O15" i="2"/>
  <c r="M15" i="2"/>
  <c r="U15" i="2" s="1"/>
  <c r="W15" i="2" s="1"/>
  <c r="X15" i="2" s="1"/>
  <c r="L15" i="2"/>
  <c r="J15" i="2"/>
  <c r="I15" i="2"/>
  <c r="H15" i="2"/>
  <c r="G15" i="2"/>
  <c r="O14" i="2"/>
  <c r="L14" i="2"/>
  <c r="K14" i="2"/>
  <c r="J14" i="2"/>
  <c r="G13" i="2"/>
  <c r="E13" i="2"/>
  <c r="N12" i="2"/>
  <c r="H12" i="2"/>
  <c r="G12" i="2"/>
  <c r="F12" i="2"/>
  <c r="R11" i="2"/>
  <c r="O11" i="2"/>
  <c r="M11" i="2"/>
  <c r="K11" i="2"/>
  <c r="T75" i="1"/>
  <c r="U73" i="1"/>
  <c r="U72" i="1"/>
  <c r="S72" i="1"/>
  <c r="R72" i="1"/>
  <c r="Q72" i="1"/>
  <c r="P72" i="1"/>
  <c r="O72" i="1"/>
  <c r="N72" i="1"/>
  <c r="O82" i="2" s="1"/>
  <c r="L72" i="1"/>
  <c r="M82" i="2" s="1"/>
  <c r="K72" i="1"/>
  <c r="J72" i="1"/>
  <c r="I72" i="1"/>
  <c r="H72" i="1"/>
  <c r="G72" i="1"/>
  <c r="F72" i="1"/>
  <c r="E72" i="1"/>
  <c r="D72" i="1"/>
  <c r="C72" i="1"/>
  <c r="U71" i="1"/>
  <c r="S71" i="1"/>
  <c r="R71" i="1"/>
  <c r="Q71" i="1"/>
  <c r="P71" i="1"/>
  <c r="O71" i="1"/>
  <c r="N71" i="1"/>
  <c r="O69" i="2" s="1"/>
  <c r="M71" i="1"/>
  <c r="L71" i="1"/>
  <c r="M69" i="2" s="1"/>
  <c r="K71" i="1"/>
  <c r="J71" i="1"/>
  <c r="I71" i="1"/>
  <c r="H71" i="1"/>
  <c r="G71" i="1"/>
  <c r="H69" i="2" s="1"/>
  <c r="F71" i="1"/>
  <c r="G69" i="2" s="1"/>
  <c r="E71" i="1"/>
  <c r="D71" i="1"/>
  <c r="E69" i="2" s="1"/>
  <c r="C71" i="1"/>
  <c r="U70" i="1"/>
  <c r="S70" i="1"/>
  <c r="R70" i="1"/>
  <c r="Q70" i="1"/>
  <c r="R62" i="2" s="1"/>
  <c r="P70" i="1"/>
  <c r="O70" i="1"/>
  <c r="N70" i="1"/>
  <c r="O62" i="2" s="1"/>
  <c r="M70" i="1"/>
  <c r="L70" i="1"/>
  <c r="M62" i="2" s="1"/>
  <c r="K70" i="1"/>
  <c r="J70" i="1"/>
  <c r="K62" i="2" s="1"/>
  <c r="I70" i="1"/>
  <c r="J62" i="2" s="1"/>
  <c r="H70" i="1"/>
  <c r="G70" i="1"/>
  <c r="H62" i="2" s="1"/>
  <c r="F70" i="1"/>
  <c r="G62" i="2" s="1"/>
  <c r="E70" i="1"/>
  <c r="F62" i="2" s="1"/>
  <c r="D70" i="1"/>
  <c r="C70" i="1"/>
  <c r="U69" i="1"/>
  <c r="S69" i="1"/>
  <c r="R69" i="1"/>
  <c r="Q69" i="1"/>
  <c r="P69" i="1"/>
  <c r="O69" i="1"/>
  <c r="N69" i="1"/>
  <c r="O59" i="2" s="1"/>
  <c r="L69" i="1"/>
  <c r="M59" i="2" s="1"/>
  <c r="K69" i="1"/>
  <c r="L59" i="2" s="1"/>
  <c r="J69" i="1"/>
  <c r="K59" i="2" s="1"/>
  <c r="I69" i="1"/>
  <c r="J59" i="2" s="1"/>
  <c r="U59" i="2" s="1"/>
  <c r="W59" i="2" s="1"/>
  <c r="X59" i="2" s="1"/>
  <c r="H69" i="1"/>
  <c r="G69" i="1"/>
  <c r="F69" i="1"/>
  <c r="E69" i="1"/>
  <c r="D69" i="1"/>
  <c r="C69" i="1"/>
  <c r="U68" i="1"/>
  <c r="S68" i="1"/>
  <c r="R68" i="1"/>
  <c r="Q68" i="1"/>
  <c r="R58" i="2" s="1"/>
  <c r="P68" i="1"/>
  <c r="O68" i="1"/>
  <c r="N68" i="1"/>
  <c r="O58" i="2" s="1"/>
  <c r="M68" i="1"/>
  <c r="L68" i="1"/>
  <c r="M58" i="2" s="1"/>
  <c r="K68" i="1"/>
  <c r="L58" i="2" s="1"/>
  <c r="J68" i="1"/>
  <c r="K58" i="2" s="1"/>
  <c r="I68" i="1"/>
  <c r="J58" i="2" s="1"/>
  <c r="H68" i="1"/>
  <c r="T68" i="1" s="1"/>
  <c r="V68" i="1" s="1"/>
  <c r="G68" i="1"/>
  <c r="F68" i="1"/>
  <c r="E68" i="1"/>
  <c r="D68" i="1"/>
  <c r="E58" i="2" s="1"/>
  <c r="C68" i="1"/>
  <c r="U67" i="1"/>
  <c r="S67" i="1"/>
  <c r="R67" i="1"/>
  <c r="Q67" i="1"/>
  <c r="R54" i="2" s="1"/>
  <c r="P67" i="1"/>
  <c r="O67" i="1"/>
  <c r="N67" i="1"/>
  <c r="O54" i="2" s="1"/>
  <c r="M67" i="1"/>
  <c r="L67" i="1"/>
  <c r="M54" i="2" s="1"/>
  <c r="K67" i="1"/>
  <c r="L54" i="2" s="1"/>
  <c r="J67" i="1"/>
  <c r="K54" i="2" s="1"/>
  <c r="I67" i="1"/>
  <c r="J54" i="2" s="1"/>
  <c r="G67" i="1"/>
  <c r="H54" i="2" s="1"/>
  <c r="F67" i="1"/>
  <c r="G54" i="2" s="1"/>
  <c r="E67" i="1"/>
  <c r="D67" i="1"/>
  <c r="C67" i="1"/>
  <c r="U66" i="1"/>
  <c r="S66" i="1"/>
  <c r="R66" i="1"/>
  <c r="Q66" i="1"/>
  <c r="R53" i="2" s="1"/>
  <c r="P66" i="1"/>
  <c r="O66" i="1"/>
  <c r="N66" i="1"/>
  <c r="L66" i="1"/>
  <c r="M53" i="2" s="1"/>
  <c r="K66" i="1"/>
  <c r="J66" i="1"/>
  <c r="K53" i="2" s="1"/>
  <c r="I66" i="1"/>
  <c r="J53" i="2" s="1"/>
  <c r="H66" i="1"/>
  <c r="G66" i="1"/>
  <c r="H53" i="2" s="1"/>
  <c r="F66" i="1"/>
  <c r="G53" i="2" s="1"/>
  <c r="E66" i="1"/>
  <c r="F53" i="2" s="1"/>
  <c r="D66" i="1"/>
  <c r="E53" i="2" s="1"/>
  <c r="C66" i="1"/>
  <c r="U65" i="1"/>
  <c r="S65" i="1"/>
  <c r="R65" i="1"/>
  <c r="Q65" i="1"/>
  <c r="P65" i="1"/>
  <c r="O65" i="1"/>
  <c r="N65" i="1"/>
  <c r="O48" i="2" s="1"/>
  <c r="M65" i="1"/>
  <c r="L65" i="1"/>
  <c r="M48" i="2" s="1"/>
  <c r="K65" i="1"/>
  <c r="L48" i="2" s="1"/>
  <c r="J65" i="1"/>
  <c r="K48" i="2" s="1"/>
  <c r="I65" i="1"/>
  <c r="J48" i="2" s="1"/>
  <c r="H65" i="1"/>
  <c r="G65" i="1"/>
  <c r="H48" i="2" s="1"/>
  <c r="F65" i="1"/>
  <c r="G48" i="2" s="1"/>
  <c r="E65" i="1"/>
  <c r="F48" i="2" s="1"/>
  <c r="D65" i="1"/>
  <c r="C65" i="1"/>
  <c r="U64" i="1"/>
  <c r="S64" i="1"/>
  <c r="R64" i="1"/>
  <c r="Q64" i="1"/>
  <c r="R40" i="2" s="1"/>
  <c r="P64" i="1"/>
  <c r="O64" i="1"/>
  <c r="N64" i="1"/>
  <c r="O40" i="2" s="1"/>
  <c r="M64" i="1"/>
  <c r="L64" i="1"/>
  <c r="K64" i="1"/>
  <c r="J64" i="1"/>
  <c r="I64" i="1"/>
  <c r="H64" i="1"/>
  <c r="G64" i="1"/>
  <c r="F64" i="1"/>
  <c r="E64" i="1"/>
  <c r="D64" i="1"/>
  <c r="C64" i="1"/>
  <c r="U63" i="1"/>
  <c r="S63" i="1"/>
  <c r="R63" i="1"/>
  <c r="Q63" i="1"/>
  <c r="P63" i="1"/>
  <c r="O63" i="1"/>
  <c r="N63" i="1"/>
  <c r="M63" i="1"/>
  <c r="M73" i="1" s="1"/>
  <c r="L63" i="1"/>
  <c r="M20" i="2" s="1"/>
  <c r="K63" i="1"/>
  <c r="J63" i="1"/>
  <c r="I63" i="1"/>
  <c r="H63" i="1"/>
  <c r="G63" i="1"/>
  <c r="E63" i="1"/>
  <c r="D63" i="1"/>
  <c r="E20" i="2" s="1"/>
  <c r="C63" i="1"/>
  <c r="N62" i="1"/>
  <c r="M62" i="1"/>
  <c r="L62" i="1"/>
  <c r="K62" i="1"/>
  <c r="J62" i="1"/>
  <c r="I62" i="1"/>
  <c r="H62" i="1"/>
  <c r="G62" i="1"/>
  <c r="F62" i="1"/>
  <c r="D62" i="1"/>
  <c r="C62" i="1"/>
  <c r="U61" i="1"/>
  <c r="S61" i="1"/>
  <c r="R61" i="1"/>
  <c r="Q61" i="1"/>
  <c r="P61" i="1"/>
  <c r="O61" i="1"/>
  <c r="N61" i="1"/>
  <c r="M61" i="1"/>
  <c r="L61" i="1"/>
  <c r="K61" i="1"/>
  <c r="J61" i="1"/>
  <c r="K52" i="2" s="1"/>
  <c r="I61" i="1"/>
  <c r="J52" i="2" s="1"/>
  <c r="H61" i="1"/>
  <c r="G61" i="1"/>
  <c r="H52" i="2" s="1"/>
  <c r="F61" i="1"/>
  <c r="G52" i="2" s="1"/>
  <c r="E61" i="1"/>
  <c r="D61" i="1"/>
  <c r="E52" i="2" s="1"/>
  <c r="C61" i="1"/>
  <c r="T61" i="1" s="1"/>
  <c r="V61" i="1" s="1"/>
  <c r="U60" i="1"/>
  <c r="S60" i="1"/>
  <c r="R60" i="1"/>
  <c r="Q60" i="1"/>
  <c r="R51" i="2" s="1"/>
  <c r="P60" i="1"/>
  <c r="O60" i="1"/>
  <c r="N60" i="1"/>
  <c r="L60" i="1"/>
  <c r="K60" i="1"/>
  <c r="L51" i="2" s="1"/>
  <c r="J60" i="1"/>
  <c r="K51" i="2" s="1"/>
  <c r="I60" i="1"/>
  <c r="J51" i="2" s="1"/>
  <c r="H60" i="1"/>
  <c r="G60" i="1"/>
  <c r="H51" i="2" s="1"/>
  <c r="F60" i="1"/>
  <c r="G51" i="2" s="1"/>
  <c r="E60" i="1"/>
  <c r="D60" i="1"/>
  <c r="E51" i="2" s="1"/>
  <c r="U51" i="2" s="1"/>
  <c r="W51" i="2" s="1"/>
  <c r="X51" i="2" s="1"/>
  <c r="C60" i="1"/>
  <c r="T60" i="1" s="1"/>
  <c r="U59" i="1"/>
  <c r="S59" i="1"/>
  <c r="T59" i="1" s="1"/>
  <c r="V59" i="1" s="1"/>
  <c r="R59" i="1"/>
  <c r="Q59" i="1"/>
  <c r="P59" i="1"/>
  <c r="O59" i="1"/>
  <c r="N59" i="1"/>
  <c r="M59" i="1"/>
  <c r="L59" i="1"/>
  <c r="K59" i="1"/>
  <c r="L50" i="2" s="1"/>
  <c r="J59" i="1"/>
  <c r="K50" i="2" s="1"/>
  <c r="I59" i="1"/>
  <c r="H59" i="1"/>
  <c r="G59" i="1"/>
  <c r="H50" i="2" s="1"/>
  <c r="F59" i="1"/>
  <c r="G50" i="2" s="1"/>
  <c r="E59" i="1"/>
  <c r="D59" i="1"/>
  <c r="C59" i="1"/>
  <c r="U58" i="1"/>
  <c r="S58" i="1"/>
  <c r="R58" i="1"/>
  <c r="T58" i="1" s="1"/>
  <c r="V58" i="1" s="1"/>
  <c r="Q58" i="1"/>
  <c r="P58" i="1"/>
  <c r="O58" i="1"/>
  <c r="N58" i="1"/>
  <c r="M58" i="1"/>
  <c r="L58" i="1"/>
  <c r="K58" i="1"/>
  <c r="J58" i="1"/>
  <c r="K49" i="2" s="1"/>
  <c r="I58" i="1"/>
  <c r="J49" i="2" s="1"/>
  <c r="H58" i="1"/>
  <c r="G58" i="1"/>
  <c r="H49" i="2" s="1"/>
  <c r="F58" i="1"/>
  <c r="G49" i="2" s="1"/>
  <c r="E58" i="1"/>
  <c r="D58" i="1"/>
  <c r="E49" i="2" s="1"/>
  <c r="U49" i="2" s="1"/>
  <c r="W49" i="2" s="1"/>
  <c r="C58" i="1"/>
  <c r="U57" i="1"/>
  <c r="S57" i="1"/>
  <c r="R57" i="1"/>
  <c r="Q57" i="1"/>
  <c r="T57" i="1" s="1"/>
  <c r="V57" i="1" s="1"/>
  <c r="W57" i="1" s="1"/>
  <c r="P57" i="1"/>
  <c r="O57" i="1"/>
  <c r="N57" i="1"/>
  <c r="M57" i="1"/>
  <c r="L57" i="1"/>
  <c r="M47" i="2" s="1"/>
  <c r="K57" i="1"/>
  <c r="L47" i="2" s="1"/>
  <c r="J57" i="1"/>
  <c r="K47" i="2" s="1"/>
  <c r="I57" i="1"/>
  <c r="J47" i="2" s="1"/>
  <c r="H57" i="1"/>
  <c r="G57" i="1"/>
  <c r="H47" i="2" s="1"/>
  <c r="F57" i="1"/>
  <c r="E57" i="1"/>
  <c r="F47" i="2" s="1"/>
  <c r="D57" i="1"/>
  <c r="E47" i="2" s="1"/>
  <c r="C57" i="1"/>
  <c r="U56" i="1"/>
  <c r="S56" i="1"/>
  <c r="R56" i="1"/>
  <c r="Q56" i="1"/>
  <c r="R46" i="2" s="1"/>
  <c r="P56" i="1"/>
  <c r="T56" i="1" s="1"/>
  <c r="V56" i="1" s="1"/>
  <c r="O56" i="1"/>
  <c r="N56" i="1"/>
  <c r="M56" i="1"/>
  <c r="L56" i="1"/>
  <c r="K56" i="1"/>
  <c r="J56" i="1"/>
  <c r="I56" i="1"/>
  <c r="H56" i="1"/>
  <c r="G56" i="1"/>
  <c r="H46" i="2" s="1"/>
  <c r="F56" i="1"/>
  <c r="E56" i="1"/>
  <c r="F46" i="2" s="1"/>
  <c r="D56" i="1"/>
  <c r="E46" i="2" s="1"/>
  <c r="C56" i="1"/>
  <c r="U55" i="1"/>
  <c r="S55" i="1"/>
  <c r="R55" i="1"/>
  <c r="Q55" i="1"/>
  <c r="R45" i="2" s="1"/>
  <c r="P55" i="1"/>
  <c r="O55" i="1"/>
  <c r="T55" i="1" s="1"/>
  <c r="V55" i="1" s="1"/>
  <c r="N55" i="1"/>
  <c r="O45" i="2" s="1"/>
  <c r="M55" i="1"/>
  <c r="L55" i="1"/>
  <c r="M45" i="2" s="1"/>
  <c r="K55" i="1"/>
  <c r="J55" i="1"/>
  <c r="K45" i="2" s="1"/>
  <c r="I55" i="1"/>
  <c r="J45" i="2" s="1"/>
  <c r="H55" i="1"/>
  <c r="G55" i="1"/>
  <c r="H45" i="2" s="1"/>
  <c r="F55" i="1"/>
  <c r="E55" i="1"/>
  <c r="F45" i="2" s="1"/>
  <c r="D55" i="1"/>
  <c r="E45" i="2" s="1"/>
  <c r="C55" i="1"/>
  <c r="U54" i="1"/>
  <c r="S54" i="1"/>
  <c r="R54" i="1"/>
  <c r="Q54" i="1"/>
  <c r="P54" i="1"/>
  <c r="O54" i="1"/>
  <c r="O62" i="1" s="1"/>
  <c r="N54" i="1"/>
  <c r="O43" i="2" s="1"/>
  <c r="M54" i="1"/>
  <c r="L54" i="1"/>
  <c r="M43" i="2" s="1"/>
  <c r="K54" i="1"/>
  <c r="J54" i="1"/>
  <c r="K43" i="2" s="1"/>
  <c r="I54" i="1"/>
  <c r="H54" i="1"/>
  <c r="G54" i="1"/>
  <c r="F54" i="1"/>
  <c r="G43" i="2" s="1"/>
  <c r="E54" i="1"/>
  <c r="D54" i="1"/>
  <c r="C54" i="1"/>
  <c r="U53" i="1"/>
  <c r="S53" i="1"/>
  <c r="R53" i="1"/>
  <c r="Q53" i="1"/>
  <c r="P53" i="1"/>
  <c r="G53" i="1"/>
  <c r="C53" i="1"/>
  <c r="U52" i="1"/>
  <c r="S52" i="1"/>
  <c r="R52" i="1"/>
  <c r="Q52" i="1"/>
  <c r="R83" i="2" s="1"/>
  <c r="P52" i="1"/>
  <c r="O52" i="1"/>
  <c r="M52" i="1"/>
  <c r="L52" i="1"/>
  <c r="M83" i="2" s="1"/>
  <c r="K52" i="1"/>
  <c r="L83" i="2" s="1"/>
  <c r="J52" i="1"/>
  <c r="K83" i="2" s="1"/>
  <c r="I52" i="1"/>
  <c r="J83" i="2" s="1"/>
  <c r="H52" i="1"/>
  <c r="G52" i="1"/>
  <c r="F52" i="1"/>
  <c r="G83" i="2" s="1"/>
  <c r="E52" i="1"/>
  <c r="F83" i="2" s="1"/>
  <c r="D52" i="1"/>
  <c r="C52" i="1"/>
  <c r="T52" i="1" s="1"/>
  <c r="V52" i="1" s="1"/>
  <c r="W52" i="1" s="1"/>
  <c r="U51" i="1"/>
  <c r="S51" i="1"/>
  <c r="R51" i="1"/>
  <c r="Q51" i="1"/>
  <c r="R75" i="2" s="1"/>
  <c r="P51" i="1"/>
  <c r="O51" i="1"/>
  <c r="N51" i="1"/>
  <c r="O75" i="2" s="1"/>
  <c r="M51" i="1"/>
  <c r="L51" i="1"/>
  <c r="M75" i="2" s="1"/>
  <c r="K51" i="1"/>
  <c r="L75" i="2" s="1"/>
  <c r="J51" i="1"/>
  <c r="K75" i="2" s="1"/>
  <c r="I51" i="1"/>
  <c r="G51" i="1"/>
  <c r="H75" i="2" s="1"/>
  <c r="F51" i="1"/>
  <c r="E51" i="1"/>
  <c r="D51" i="1"/>
  <c r="C51" i="1"/>
  <c r="T51" i="1" s="1"/>
  <c r="V51" i="1" s="1"/>
  <c r="W51" i="1" s="1"/>
  <c r="U50" i="1"/>
  <c r="S50" i="1"/>
  <c r="R50" i="1"/>
  <c r="Q50" i="1"/>
  <c r="R70" i="2" s="1"/>
  <c r="P50" i="1"/>
  <c r="O50" i="1"/>
  <c r="N50" i="1"/>
  <c r="O70" i="2" s="1"/>
  <c r="M50" i="1"/>
  <c r="L50" i="1"/>
  <c r="M70" i="2" s="1"/>
  <c r="K50" i="1"/>
  <c r="J50" i="1"/>
  <c r="I50" i="1"/>
  <c r="H50" i="1"/>
  <c r="G50" i="1"/>
  <c r="F50" i="1"/>
  <c r="E50" i="1"/>
  <c r="D50" i="1"/>
  <c r="C50" i="1"/>
  <c r="U49" i="1"/>
  <c r="S49" i="1"/>
  <c r="R49" i="1"/>
  <c r="Q49" i="1"/>
  <c r="R61" i="2" s="1"/>
  <c r="P49" i="1"/>
  <c r="O49" i="1"/>
  <c r="N49" i="1"/>
  <c r="O61" i="2" s="1"/>
  <c r="M49" i="1"/>
  <c r="L49" i="1"/>
  <c r="M61" i="2" s="1"/>
  <c r="K49" i="1"/>
  <c r="J49" i="1"/>
  <c r="I49" i="1"/>
  <c r="H49" i="1"/>
  <c r="G49" i="1"/>
  <c r="F49" i="1"/>
  <c r="G61" i="2" s="1"/>
  <c r="E49" i="1"/>
  <c r="D49" i="1"/>
  <c r="E61" i="2" s="1"/>
  <c r="C49" i="1"/>
  <c r="U48" i="1"/>
  <c r="S48" i="1"/>
  <c r="R48" i="1"/>
  <c r="Q48" i="1"/>
  <c r="P48" i="1"/>
  <c r="O48" i="1"/>
  <c r="N48" i="1"/>
  <c r="O55" i="2" s="1"/>
  <c r="L48" i="1"/>
  <c r="M55" i="2" s="1"/>
  <c r="K48" i="1"/>
  <c r="J48" i="1"/>
  <c r="I48" i="1"/>
  <c r="H48" i="1"/>
  <c r="G48" i="1"/>
  <c r="F48" i="1"/>
  <c r="E48" i="1"/>
  <c r="D48" i="1"/>
  <c r="E55" i="2" s="1"/>
  <c r="C48" i="1"/>
  <c r="U47" i="1"/>
  <c r="S47" i="1"/>
  <c r="R47" i="1"/>
  <c r="Q47" i="1"/>
  <c r="R42" i="2" s="1"/>
  <c r="P47" i="1"/>
  <c r="O47" i="1"/>
  <c r="N47" i="1"/>
  <c r="M47" i="1"/>
  <c r="L47" i="1"/>
  <c r="M42" i="2" s="1"/>
  <c r="K47" i="1"/>
  <c r="J47" i="1"/>
  <c r="I47" i="1"/>
  <c r="J42" i="2" s="1"/>
  <c r="H47" i="1"/>
  <c r="G47" i="1"/>
  <c r="H42" i="2" s="1"/>
  <c r="F47" i="1"/>
  <c r="E47" i="1"/>
  <c r="D47" i="1"/>
  <c r="C47" i="1"/>
  <c r="U46" i="1"/>
  <c r="S46" i="1"/>
  <c r="R46" i="1"/>
  <c r="Q46" i="1"/>
  <c r="R41" i="2" s="1"/>
  <c r="P46" i="1"/>
  <c r="O46" i="1"/>
  <c r="M46" i="1"/>
  <c r="L46" i="1"/>
  <c r="K46" i="1"/>
  <c r="J46" i="1"/>
  <c r="I46" i="1"/>
  <c r="I53" i="1" s="1"/>
  <c r="H46" i="1"/>
  <c r="H53" i="1" s="1"/>
  <c r="G46" i="1"/>
  <c r="F46" i="1"/>
  <c r="T46" i="1" s="1"/>
  <c r="V46" i="1" s="1"/>
  <c r="W46" i="1" s="1"/>
  <c r="E46" i="1"/>
  <c r="D46" i="1"/>
  <c r="C46" i="1"/>
  <c r="O45" i="1"/>
  <c r="N45" i="1"/>
  <c r="U44" i="1"/>
  <c r="S44" i="1"/>
  <c r="R44" i="1"/>
  <c r="Q44" i="1"/>
  <c r="R76" i="2" s="1"/>
  <c r="P44" i="1"/>
  <c r="T44" i="1" s="1"/>
  <c r="V44" i="1" s="1"/>
  <c r="W44" i="1" s="1"/>
  <c r="O44" i="1"/>
  <c r="N44" i="1"/>
  <c r="O76" i="2" s="1"/>
  <c r="M44" i="1"/>
  <c r="L44" i="1"/>
  <c r="M76" i="2" s="1"/>
  <c r="K44" i="1"/>
  <c r="J44" i="1"/>
  <c r="I44" i="1"/>
  <c r="H44" i="1"/>
  <c r="G44" i="1"/>
  <c r="F44" i="1"/>
  <c r="E44" i="1"/>
  <c r="D44" i="1"/>
  <c r="C44" i="1"/>
  <c r="U43" i="1"/>
  <c r="S43" i="1"/>
  <c r="R43" i="1"/>
  <c r="Q43" i="1"/>
  <c r="R71" i="2" s="1"/>
  <c r="P43" i="1"/>
  <c r="T43" i="1" s="1"/>
  <c r="V43" i="1" s="1"/>
  <c r="W43" i="1" s="1"/>
  <c r="O43" i="1"/>
  <c r="N43" i="1"/>
  <c r="M43" i="1"/>
  <c r="L43" i="1"/>
  <c r="K43" i="1"/>
  <c r="J43" i="1"/>
  <c r="I43" i="1"/>
  <c r="H43" i="1"/>
  <c r="G43" i="1"/>
  <c r="H71" i="2" s="1"/>
  <c r="F43" i="1"/>
  <c r="E43" i="1"/>
  <c r="D43" i="1"/>
  <c r="E71" i="2" s="1"/>
  <c r="C43" i="1"/>
  <c r="U42" i="1"/>
  <c r="S42" i="1"/>
  <c r="R42" i="1"/>
  <c r="Q42" i="1"/>
  <c r="P42" i="1"/>
  <c r="P45" i="1" s="1"/>
  <c r="O42" i="1"/>
  <c r="N42" i="1"/>
  <c r="M42" i="1"/>
  <c r="L42" i="1"/>
  <c r="K42" i="1"/>
  <c r="L67" i="2" s="1"/>
  <c r="J42" i="1"/>
  <c r="I42" i="1"/>
  <c r="H42" i="1"/>
  <c r="G42" i="1"/>
  <c r="H67" i="2" s="1"/>
  <c r="F42" i="1"/>
  <c r="G67" i="2" s="1"/>
  <c r="E42" i="1"/>
  <c r="D42" i="1"/>
  <c r="C42" i="1"/>
  <c r="U41" i="1"/>
  <c r="S41" i="1"/>
  <c r="R41" i="1"/>
  <c r="Q41" i="1"/>
  <c r="R66" i="2" s="1"/>
  <c r="P41" i="1"/>
  <c r="O41" i="1"/>
  <c r="N41" i="1"/>
  <c r="O66" i="2" s="1"/>
  <c r="M41" i="1"/>
  <c r="L41" i="1"/>
  <c r="K41" i="1"/>
  <c r="J41" i="1"/>
  <c r="K66" i="2" s="1"/>
  <c r="I41" i="1"/>
  <c r="J66" i="2" s="1"/>
  <c r="H41" i="1"/>
  <c r="G41" i="1"/>
  <c r="H66" i="2" s="1"/>
  <c r="F41" i="1"/>
  <c r="G66" i="2" s="1"/>
  <c r="E41" i="1"/>
  <c r="D41" i="1"/>
  <c r="C41" i="1"/>
  <c r="U40" i="1"/>
  <c r="S40" i="1"/>
  <c r="R40" i="1"/>
  <c r="R45" i="1" s="1"/>
  <c r="Q40" i="1"/>
  <c r="R65" i="2" s="1"/>
  <c r="P40" i="1"/>
  <c r="O40" i="1"/>
  <c r="N40" i="1"/>
  <c r="O65" i="2" s="1"/>
  <c r="M40" i="1"/>
  <c r="L40" i="1"/>
  <c r="K40" i="1"/>
  <c r="J40" i="1"/>
  <c r="I40" i="1"/>
  <c r="H40" i="1"/>
  <c r="G40" i="1"/>
  <c r="F40" i="1"/>
  <c r="E40" i="1"/>
  <c r="D40" i="1"/>
  <c r="C40" i="1"/>
  <c r="U39" i="1"/>
  <c r="S39" i="1"/>
  <c r="S45" i="1" s="1"/>
  <c r="R39" i="1"/>
  <c r="Q39" i="1"/>
  <c r="P39" i="1"/>
  <c r="O39" i="1"/>
  <c r="N39" i="1"/>
  <c r="M39" i="1"/>
  <c r="L39" i="1"/>
  <c r="M64" i="2" s="1"/>
  <c r="K39" i="1"/>
  <c r="L64" i="2" s="1"/>
  <c r="J39" i="1"/>
  <c r="K64" i="2" s="1"/>
  <c r="I39" i="1"/>
  <c r="J64" i="2" s="1"/>
  <c r="H39" i="1"/>
  <c r="G39" i="1"/>
  <c r="H64" i="2" s="1"/>
  <c r="F39" i="1"/>
  <c r="G64" i="2" s="1"/>
  <c r="E39" i="1"/>
  <c r="F64" i="2" s="1"/>
  <c r="D39" i="1"/>
  <c r="E64" i="2" s="1"/>
  <c r="U64" i="2" s="1"/>
  <c r="C39" i="1"/>
  <c r="U38" i="1"/>
  <c r="T38" i="1"/>
  <c r="V38" i="1" s="1"/>
  <c r="W38" i="1" s="1"/>
  <c r="S38" i="1"/>
  <c r="R38" i="1"/>
  <c r="Q38" i="1"/>
  <c r="P38" i="1"/>
  <c r="O38" i="1"/>
  <c r="N38" i="1"/>
  <c r="M38" i="1"/>
  <c r="L38" i="1"/>
  <c r="M60" i="2" s="1"/>
  <c r="K38" i="1"/>
  <c r="L60" i="2" s="1"/>
  <c r="J38" i="1"/>
  <c r="K60" i="2" s="1"/>
  <c r="I38" i="1"/>
  <c r="J60" i="2" s="1"/>
  <c r="H38" i="1"/>
  <c r="G38" i="1"/>
  <c r="H60" i="2" s="1"/>
  <c r="F38" i="1"/>
  <c r="G60" i="2" s="1"/>
  <c r="E38" i="1"/>
  <c r="F60" i="2" s="1"/>
  <c r="D38" i="1"/>
  <c r="E60" i="2" s="1"/>
  <c r="U60" i="2" s="1"/>
  <c r="W60" i="2" s="1"/>
  <c r="X60" i="2" s="1"/>
  <c r="C38" i="1"/>
  <c r="U37" i="1"/>
  <c r="U45" i="1" s="1"/>
  <c r="S37" i="1"/>
  <c r="R37" i="1"/>
  <c r="Q37" i="1"/>
  <c r="P37" i="1"/>
  <c r="O37" i="1"/>
  <c r="N37" i="1"/>
  <c r="M37" i="1"/>
  <c r="L37" i="1"/>
  <c r="M56" i="2" s="1"/>
  <c r="K37" i="1"/>
  <c r="L56" i="2" s="1"/>
  <c r="J37" i="1"/>
  <c r="K56" i="2" s="1"/>
  <c r="I37" i="1"/>
  <c r="J56" i="2" s="1"/>
  <c r="H37" i="1"/>
  <c r="G37" i="1"/>
  <c r="H56" i="2" s="1"/>
  <c r="F37" i="1"/>
  <c r="G56" i="2" s="1"/>
  <c r="E37" i="1"/>
  <c r="F56" i="2" s="1"/>
  <c r="D37" i="1"/>
  <c r="E56" i="2" s="1"/>
  <c r="U56" i="2" s="1"/>
  <c r="W56" i="2" s="1"/>
  <c r="X56" i="2" s="1"/>
  <c r="C37" i="1"/>
  <c r="T37" i="1" s="1"/>
  <c r="V36" i="1"/>
  <c r="W36" i="1" s="1"/>
  <c r="U36" i="1"/>
  <c r="S36" i="1"/>
  <c r="R36" i="1"/>
  <c r="Q36" i="1"/>
  <c r="P36" i="1"/>
  <c r="O36" i="1"/>
  <c r="N36" i="1"/>
  <c r="O39" i="2" s="1"/>
  <c r="M36" i="1"/>
  <c r="L36" i="1"/>
  <c r="M39" i="2" s="1"/>
  <c r="K36" i="1"/>
  <c r="L39" i="2" s="1"/>
  <c r="J36" i="1"/>
  <c r="K39" i="2" s="1"/>
  <c r="I36" i="1"/>
  <c r="J39" i="2" s="1"/>
  <c r="H36" i="1"/>
  <c r="G36" i="1"/>
  <c r="H39" i="2" s="1"/>
  <c r="F36" i="1"/>
  <c r="G39" i="2" s="1"/>
  <c r="E36" i="1"/>
  <c r="F39" i="2" s="1"/>
  <c r="D36" i="1"/>
  <c r="E39" i="2" s="1"/>
  <c r="U39" i="2" s="1"/>
  <c r="W39" i="2" s="1"/>
  <c r="C36" i="1"/>
  <c r="T36" i="1" s="1"/>
  <c r="V35" i="1"/>
  <c r="W35" i="1" s="1"/>
  <c r="U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G38" i="2" s="1"/>
  <c r="E35" i="1"/>
  <c r="F38" i="2" s="1"/>
  <c r="D35" i="1"/>
  <c r="E38" i="2" s="1"/>
  <c r="C35" i="1"/>
  <c r="T35" i="1" s="1"/>
  <c r="U34" i="1"/>
  <c r="S34" i="1"/>
  <c r="R34" i="1"/>
  <c r="Q34" i="1"/>
  <c r="P34" i="1"/>
  <c r="O34" i="1"/>
  <c r="N34" i="1"/>
  <c r="M34" i="1"/>
  <c r="L34" i="1"/>
  <c r="K34" i="1"/>
  <c r="J34" i="1"/>
  <c r="I34" i="1"/>
  <c r="J33" i="2" s="1"/>
  <c r="H34" i="1"/>
  <c r="G34" i="1"/>
  <c r="H33" i="2" s="1"/>
  <c r="F34" i="1"/>
  <c r="E34" i="1"/>
  <c r="F33" i="2" s="1"/>
  <c r="D34" i="1"/>
  <c r="E33" i="2" s="1"/>
  <c r="C34" i="1"/>
  <c r="U33" i="1"/>
  <c r="S33" i="1"/>
  <c r="R33" i="1"/>
  <c r="Q33" i="1"/>
  <c r="P33" i="1"/>
  <c r="O33" i="1"/>
  <c r="N33" i="1"/>
  <c r="M33" i="1"/>
  <c r="L33" i="1"/>
  <c r="L45" i="1" s="1"/>
  <c r="K33" i="1"/>
  <c r="J33" i="1"/>
  <c r="I33" i="1"/>
  <c r="H33" i="1"/>
  <c r="G33" i="1"/>
  <c r="F33" i="1"/>
  <c r="E33" i="1"/>
  <c r="F29" i="2" s="1"/>
  <c r="D33" i="1"/>
  <c r="C33" i="1"/>
  <c r="U31" i="1"/>
  <c r="S31" i="1"/>
  <c r="R31" i="1"/>
  <c r="Q31" i="1"/>
  <c r="R57" i="2" s="1"/>
  <c r="P31" i="1"/>
  <c r="T31" i="1" s="1"/>
  <c r="V31" i="1" s="1"/>
  <c r="W31" i="1" s="1"/>
  <c r="O31" i="1"/>
  <c r="N31" i="1"/>
  <c r="M31" i="1"/>
  <c r="L31" i="1"/>
  <c r="K31" i="1"/>
  <c r="J31" i="1"/>
  <c r="I31" i="1"/>
  <c r="H31" i="1"/>
  <c r="G31" i="1"/>
  <c r="E31" i="1"/>
  <c r="D31" i="1"/>
  <c r="C31" i="1"/>
  <c r="U30" i="1"/>
  <c r="S30" i="1"/>
  <c r="R30" i="1"/>
  <c r="Q30" i="1"/>
  <c r="R44" i="2" s="1"/>
  <c r="P30" i="1"/>
  <c r="O30" i="1"/>
  <c r="N30" i="1"/>
  <c r="M30" i="1"/>
  <c r="L30" i="1"/>
  <c r="K30" i="1"/>
  <c r="J30" i="1"/>
  <c r="I30" i="1"/>
  <c r="J44" i="2" s="1"/>
  <c r="H30" i="1"/>
  <c r="G30" i="1"/>
  <c r="F30" i="1"/>
  <c r="E30" i="1"/>
  <c r="F44" i="2" s="1"/>
  <c r="D30" i="1"/>
  <c r="C30" i="1"/>
  <c r="U29" i="1"/>
  <c r="S29" i="1"/>
  <c r="R29" i="1"/>
  <c r="Q29" i="1"/>
  <c r="P29" i="1"/>
  <c r="O29" i="1"/>
  <c r="N29" i="1"/>
  <c r="M29" i="1"/>
  <c r="L29" i="1"/>
  <c r="M28" i="2" s="1"/>
  <c r="K29" i="1"/>
  <c r="L28" i="2" s="1"/>
  <c r="J29" i="1"/>
  <c r="I29" i="1"/>
  <c r="J28" i="2" s="1"/>
  <c r="H29" i="1"/>
  <c r="G29" i="1"/>
  <c r="H28" i="2" s="1"/>
  <c r="F29" i="1"/>
  <c r="E29" i="1"/>
  <c r="D29" i="1"/>
  <c r="C29" i="1"/>
  <c r="U28" i="1"/>
  <c r="S28" i="1"/>
  <c r="R28" i="1"/>
  <c r="Q28" i="1"/>
  <c r="R27" i="2" s="1"/>
  <c r="P28" i="1"/>
  <c r="O28" i="1"/>
  <c r="N28" i="1"/>
  <c r="O27" i="2" s="1"/>
  <c r="M28" i="1"/>
  <c r="L28" i="1"/>
  <c r="K28" i="1"/>
  <c r="L27" i="2" s="1"/>
  <c r="J28" i="1"/>
  <c r="K27" i="2" s="1"/>
  <c r="I28" i="1"/>
  <c r="J27" i="2" s="1"/>
  <c r="H28" i="1"/>
  <c r="G28" i="1"/>
  <c r="F28" i="1"/>
  <c r="G27" i="2" s="1"/>
  <c r="E28" i="1"/>
  <c r="D28" i="1"/>
  <c r="E27" i="2" s="1"/>
  <c r="C28" i="1"/>
  <c r="U27" i="1"/>
  <c r="S27" i="1"/>
  <c r="R27" i="1"/>
  <c r="Q27" i="1"/>
  <c r="R26" i="2" s="1"/>
  <c r="P27" i="1"/>
  <c r="O27" i="1"/>
  <c r="N27" i="1"/>
  <c r="M27" i="1"/>
  <c r="L27" i="1"/>
  <c r="K27" i="1"/>
  <c r="J27" i="1"/>
  <c r="I27" i="1"/>
  <c r="J26" i="2" s="1"/>
  <c r="H27" i="1"/>
  <c r="G27" i="1"/>
  <c r="H26" i="2" s="1"/>
  <c r="F27" i="1"/>
  <c r="T27" i="1" s="1"/>
  <c r="V27" i="1" s="1"/>
  <c r="W27" i="1" s="1"/>
  <c r="E27" i="1"/>
  <c r="D27" i="1"/>
  <c r="C27" i="1"/>
  <c r="U26" i="1"/>
  <c r="S26" i="1"/>
  <c r="R26" i="1"/>
  <c r="Q26" i="1"/>
  <c r="P26" i="1"/>
  <c r="O26" i="1"/>
  <c r="N26" i="1"/>
  <c r="M26" i="1"/>
  <c r="L26" i="1"/>
  <c r="K26" i="1"/>
  <c r="J26" i="1"/>
  <c r="I26" i="1"/>
  <c r="J24" i="2" s="1"/>
  <c r="H26" i="1"/>
  <c r="G26" i="1"/>
  <c r="H24" i="2" s="1"/>
  <c r="F26" i="1"/>
  <c r="T26" i="1" s="1"/>
  <c r="V26" i="1" s="1"/>
  <c r="E26" i="1"/>
  <c r="D26" i="1"/>
  <c r="C26" i="1"/>
  <c r="U25" i="1"/>
  <c r="S25" i="1"/>
  <c r="R25" i="1"/>
  <c r="Q25" i="1"/>
  <c r="P25" i="1"/>
  <c r="O25" i="1"/>
  <c r="N25" i="1"/>
  <c r="O23" i="2" s="1"/>
  <c r="M25" i="1"/>
  <c r="L25" i="1"/>
  <c r="M23" i="2" s="1"/>
  <c r="K25" i="1"/>
  <c r="L23" i="2" s="1"/>
  <c r="J25" i="1"/>
  <c r="K23" i="2" s="1"/>
  <c r="I25" i="1"/>
  <c r="J23" i="2" s="1"/>
  <c r="H25" i="1"/>
  <c r="G25" i="1"/>
  <c r="H23" i="2" s="1"/>
  <c r="F25" i="1"/>
  <c r="G23" i="2" s="1"/>
  <c r="E25" i="1"/>
  <c r="F23" i="2" s="1"/>
  <c r="D25" i="1"/>
  <c r="C25" i="1"/>
  <c r="U24" i="1"/>
  <c r="S24" i="1"/>
  <c r="R24" i="1"/>
  <c r="Q24" i="1"/>
  <c r="R22" i="2" s="1"/>
  <c r="P24" i="1"/>
  <c r="O24" i="1"/>
  <c r="N24" i="1"/>
  <c r="M24" i="1"/>
  <c r="L24" i="1"/>
  <c r="K24" i="1"/>
  <c r="J24" i="1"/>
  <c r="J32" i="1" s="1"/>
  <c r="I24" i="1"/>
  <c r="H24" i="1"/>
  <c r="G24" i="1"/>
  <c r="H22" i="2" s="1"/>
  <c r="F24" i="1"/>
  <c r="E24" i="1"/>
  <c r="F22" i="2" s="1"/>
  <c r="D24" i="1"/>
  <c r="C24" i="1"/>
  <c r="U23" i="1"/>
  <c r="U32" i="1" s="1"/>
  <c r="S23" i="1"/>
  <c r="R23" i="1"/>
  <c r="Q23" i="1"/>
  <c r="P23" i="1"/>
  <c r="P32" i="1" s="1"/>
  <c r="O23" i="1"/>
  <c r="N23" i="1"/>
  <c r="O21" i="2" s="1"/>
  <c r="M23" i="1"/>
  <c r="M32" i="1" s="1"/>
  <c r="L23" i="1"/>
  <c r="L32" i="1" s="1"/>
  <c r="K23" i="1"/>
  <c r="L21" i="2" s="1"/>
  <c r="J23" i="1"/>
  <c r="I23" i="1"/>
  <c r="J21" i="2" s="1"/>
  <c r="H23" i="1"/>
  <c r="G23" i="1"/>
  <c r="H21" i="2" s="1"/>
  <c r="E23" i="1"/>
  <c r="D23" i="1"/>
  <c r="C23" i="1"/>
  <c r="C32" i="1" s="1"/>
  <c r="U22" i="1"/>
  <c r="S22" i="1"/>
  <c r="R22" i="1"/>
  <c r="K22" i="1"/>
  <c r="S21" i="1"/>
  <c r="R21" i="1"/>
  <c r="Q21" i="1"/>
  <c r="P21" i="1"/>
  <c r="O21" i="1"/>
  <c r="N21" i="1"/>
  <c r="M21" i="1"/>
  <c r="L21" i="1"/>
  <c r="K21" i="1"/>
  <c r="J21" i="1"/>
  <c r="K19" i="2" s="1"/>
  <c r="I21" i="1"/>
  <c r="H21" i="1"/>
  <c r="G21" i="1"/>
  <c r="F21" i="1"/>
  <c r="G19" i="2" s="1"/>
  <c r="E21" i="1"/>
  <c r="F19" i="2" s="1"/>
  <c r="D21" i="1"/>
  <c r="E19" i="2" s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T20" i="1" s="1"/>
  <c r="V20" i="1" s="1"/>
  <c r="E20" i="1"/>
  <c r="D20" i="1"/>
  <c r="C20" i="1"/>
  <c r="U19" i="1"/>
  <c r="S19" i="1"/>
  <c r="R19" i="1"/>
  <c r="Q19" i="1"/>
  <c r="P19" i="1"/>
  <c r="O19" i="1"/>
  <c r="N19" i="1"/>
  <c r="M19" i="1"/>
  <c r="L19" i="1"/>
  <c r="K19" i="1"/>
  <c r="L18" i="2" s="1"/>
  <c r="J19" i="1"/>
  <c r="K18" i="2" s="1"/>
  <c r="I19" i="1"/>
  <c r="H19" i="1"/>
  <c r="G19" i="1"/>
  <c r="H18" i="2" s="1"/>
  <c r="F19" i="1"/>
  <c r="E19" i="1"/>
  <c r="D19" i="1"/>
  <c r="C19" i="1"/>
  <c r="U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H17" i="2" s="1"/>
  <c r="F18" i="1"/>
  <c r="E18" i="1"/>
  <c r="F17" i="2" s="1"/>
  <c r="D18" i="1"/>
  <c r="E17" i="2" s="1"/>
  <c r="C18" i="1"/>
  <c r="U17" i="1"/>
  <c r="S17" i="1"/>
  <c r="R17" i="1"/>
  <c r="Q17" i="1"/>
  <c r="R16" i="2" s="1"/>
  <c r="P17" i="1"/>
  <c r="O17" i="1"/>
  <c r="N17" i="1"/>
  <c r="O16" i="2" s="1"/>
  <c r="M17" i="1"/>
  <c r="L17" i="1"/>
  <c r="K17" i="1"/>
  <c r="L16" i="2" s="1"/>
  <c r="J17" i="1"/>
  <c r="K16" i="2" s="1"/>
  <c r="I17" i="1"/>
  <c r="G17" i="1"/>
  <c r="E17" i="1"/>
  <c r="F16" i="2" s="1"/>
  <c r="D17" i="1"/>
  <c r="C17" i="1"/>
  <c r="U16" i="1"/>
  <c r="P16" i="1"/>
  <c r="N16" i="1"/>
  <c r="M16" i="1"/>
  <c r="T16" i="1" s="1"/>
  <c r="V16" i="1" s="1"/>
  <c r="W16" i="1" s="1"/>
  <c r="L16" i="1"/>
  <c r="J16" i="1"/>
  <c r="K15" i="2" s="1"/>
  <c r="E16" i="1"/>
  <c r="F15" i="2" s="1"/>
  <c r="C16" i="1"/>
  <c r="U15" i="1"/>
  <c r="S15" i="1"/>
  <c r="R15" i="1"/>
  <c r="Q15" i="1"/>
  <c r="R14" i="2" s="1"/>
  <c r="P15" i="1"/>
  <c r="O15" i="1"/>
  <c r="N15" i="1"/>
  <c r="M15" i="1"/>
  <c r="K15" i="1"/>
  <c r="J15" i="1"/>
  <c r="I15" i="1"/>
  <c r="H15" i="1"/>
  <c r="G15" i="1"/>
  <c r="H14" i="2" s="1"/>
  <c r="F15" i="1"/>
  <c r="G14" i="2" s="1"/>
  <c r="E15" i="1"/>
  <c r="F14" i="2" s="1"/>
  <c r="D15" i="1"/>
  <c r="E14" i="2" s="1"/>
  <c r="C15" i="1"/>
  <c r="U14" i="1"/>
  <c r="S14" i="1"/>
  <c r="R14" i="1"/>
  <c r="Q14" i="1"/>
  <c r="R13" i="2" s="1"/>
  <c r="P14" i="1"/>
  <c r="O14" i="1"/>
  <c r="N14" i="1"/>
  <c r="O13" i="2" s="1"/>
  <c r="M14" i="1"/>
  <c r="L14" i="1"/>
  <c r="M13" i="2" s="1"/>
  <c r="K14" i="1"/>
  <c r="L13" i="2" s="1"/>
  <c r="J14" i="1"/>
  <c r="K13" i="2" s="1"/>
  <c r="I14" i="1"/>
  <c r="J13" i="2" s="1"/>
  <c r="H14" i="1"/>
  <c r="G14" i="1"/>
  <c r="H13" i="2" s="1"/>
  <c r="E14" i="1"/>
  <c r="F13" i="2" s="1"/>
  <c r="D14" i="1"/>
  <c r="D22" i="1" s="1"/>
  <c r="C14" i="1"/>
  <c r="U13" i="1"/>
  <c r="S13" i="1"/>
  <c r="R13" i="1"/>
  <c r="Q13" i="1"/>
  <c r="R12" i="2" s="1"/>
  <c r="P13" i="1"/>
  <c r="O13" i="1"/>
  <c r="N13" i="1"/>
  <c r="L13" i="1"/>
  <c r="K13" i="1"/>
  <c r="L12" i="2" s="1"/>
  <c r="J13" i="1"/>
  <c r="K12" i="2" s="1"/>
  <c r="I13" i="1"/>
  <c r="J12" i="2" s="1"/>
  <c r="H13" i="1"/>
  <c r="H22" i="1" s="1"/>
  <c r="G13" i="1"/>
  <c r="E13" i="1"/>
  <c r="D13" i="1"/>
  <c r="E12" i="2" s="1"/>
  <c r="C13" i="1"/>
  <c r="U12" i="1"/>
  <c r="S12" i="1"/>
  <c r="R12" i="1"/>
  <c r="Q12" i="1"/>
  <c r="P12" i="1"/>
  <c r="O12" i="1"/>
  <c r="M12" i="1"/>
  <c r="K12" i="1"/>
  <c r="L11" i="2" s="1"/>
  <c r="J12" i="1"/>
  <c r="I12" i="1"/>
  <c r="J11" i="2" s="1"/>
  <c r="H12" i="1"/>
  <c r="G12" i="1"/>
  <c r="F12" i="1"/>
  <c r="E12" i="1"/>
  <c r="C12" i="1"/>
  <c r="T12" i="1" l="1"/>
  <c r="C22" i="1"/>
  <c r="I22" i="1"/>
  <c r="F53" i="1"/>
  <c r="S32" i="1"/>
  <c r="L22" i="1"/>
  <c r="P62" i="1"/>
  <c r="V60" i="1"/>
  <c r="W60" i="1" s="1"/>
  <c r="F27" i="2"/>
  <c r="U27" i="2" s="1"/>
  <c r="W27" i="2" s="1"/>
  <c r="X27" i="2" s="1"/>
  <c r="T28" i="1"/>
  <c r="V28" i="1" s="1"/>
  <c r="W28" i="1" s="1"/>
  <c r="F11" i="2"/>
  <c r="E22" i="1"/>
  <c r="F22" i="1"/>
  <c r="G11" i="2"/>
  <c r="L62" i="2"/>
  <c r="U62" i="2" s="1"/>
  <c r="W62" i="2" s="1"/>
  <c r="X62" i="2" s="1"/>
  <c r="T70" i="1"/>
  <c r="V70" i="1" s="1"/>
  <c r="W70" i="1" s="1"/>
  <c r="G22" i="1"/>
  <c r="H11" i="2"/>
  <c r="N22" i="1"/>
  <c r="O12" i="2"/>
  <c r="U52" i="2"/>
  <c r="W52" i="2" s="1"/>
  <c r="J92" i="2"/>
  <c r="Q62" i="1"/>
  <c r="R43" i="2"/>
  <c r="Q73" i="1"/>
  <c r="H19" i="2"/>
  <c r="T21" i="1"/>
  <c r="V21" i="1" s="1"/>
  <c r="N53" i="1"/>
  <c r="O42" i="2"/>
  <c r="U42" i="2" s="1"/>
  <c r="W42" i="2" s="1"/>
  <c r="X42" i="2" s="1"/>
  <c r="R62" i="1"/>
  <c r="V37" i="1"/>
  <c r="W37" i="1" s="1"/>
  <c r="T39" i="1"/>
  <c r="V39" i="1" s="1"/>
  <c r="W39" i="1" s="1"/>
  <c r="U14" i="2"/>
  <c r="W14" i="2" s="1"/>
  <c r="X14" i="2" s="1"/>
  <c r="T40" i="1"/>
  <c r="V40" i="1" s="1"/>
  <c r="W40" i="1" s="1"/>
  <c r="U62" i="1"/>
  <c r="U76" i="1" s="1"/>
  <c r="G18" i="2"/>
  <c r="U18" i="2" s="1"/>
  <c r="T19" i="1"/>
  <c r="V19" i="1" s="1"/>
  <c r="T41" i="1"/>
  <c r="V41" i="1" s="1"/>
  <c r="W41" i="1" s="1"/>
  <c r="R47" i="2"/>
  <c r="U47" i="2" s="1"/>
  <c r="W47" i="2" s="1"/>
  <c r="X47" i="2" s="1"/>
  <c r="H32" i="1"/>
  <c r="T42" i="1"/>
  <c r="V42" i="1" s="1"/>
  <c r="U33" i="2"/>
  <c r="W33" i="2" s="1"/>
  <c r="X33" i="2" s="1"/>
  <c r="U45" i="2"/>
  <c r="W45" i="2" s="1"/>
  <c r="G41" i="2"/>
  <c r="T33" i="1"/>
  <c r="E29" i="2"/>
  <c r="D45" i="1"/>
  <c r="E45" i="1"/>
  <c r="G45" i="1"/>
  <c r="H29" i="2"/>
  <c r="Q45" i="1"/>
  <c r="U74" i="2"/>
  <c r="W74" i="2" s="1"/>
  <c r="X74" i="2" s="1"/>
  <c r="R21" i="2"/>
  <c r="Q32" i="1"/>
  <c r="L73" i="1"/>
  <c r="U58" i="2"/>
  <c r="L69" i="2"/>
  <c r="U69" i="2" s="1"/>
  <c r="T71" i="1"/>
  <c r="V71" i="1" s="1"/>
  <c r="R32" i="1"/>
  <c r="Q22" i="1"/>
  <c r="T24" i="1"/>
  <c r="V24" i="1" s="1"/>
  <c r="W24" i="1" s="1"/>
  <c r="N73" i="1"/>
  <c r="T23" i="1"/>
  <c r="O73" i="1"/>
  <c r="O76" i="1" s="1"/>
  <c r="U40" i="2"/>
  <c r="W40" i="2" s="1"/>
  <c r="X40" i="2" s="1"/>
  <c r="P73" i="1"/>
  <c r="P76" i="1" s="1"/>
  <c r="E23" i="2"/>
  <c r="U23" i="2" s="1"/>
  <c r="T25" i="1"/>
  <c r="V25" i="1" s="1"/>
  <c r="L53" i="1"/>
  <c r="S62" i="1"/>
  <c r="G22" i="2"/>
  <c r="F32" i="1"/>
  <c r="M53" i="1"/>
  <c r="T54" i="1"/>
  <c r="T65" i="1"/>
  <c r="V65" i="1" s="1"/>
  <c r="W65" i="1" s="1"/>
  <c r="D73" i="1"/>
  <c r="E48" i="2"/>
  <c r="U48" i="2" s="1"/>
  <c r="W48" i="2" s="1"/>
  <c r="X48" i="2" s="1"/>
  <c r="M12" i="2"/>
  <c r="M92" i="2" s="1"/>
  <c r="F21" i="2"/>
  <c r="E32" i="1"/>
  <c r="O53" i="1"/>
  <c r="T50" i="1"/>
  <c r="V50" i="1" s="1"/>
  <c r="W50" i="1" s="1"/>
  <c r="T64" i="1"/>
  <c r="V64" i="1" s="1"/>
  <c r="W64" i="1" s="1"/>
  <c r="G24" i="2"/>
  <c r="U24" i="2" s="1"/>
  <c r="G26" i="2"/>
  <c r="U26" i="2" s="1"/>
  <c r="W26" i="2" s="1"/>
  <c r="X26" i="2" s="1"/>
  <c r="C45" i="1"/>
  <c r="T34" i="1"/>
  <c r="V34" i="1" s="1"/>
  <c r="W34" i="1" s="1"/>
  <c r="G17" i="2"/>
  <c r="U17" i="2" s="1"/>
  <c r="T18" i="1"/>
  <c r="V18" i="1" s="1"/>
  <c r="F61" i="2"/>
  <c r="U61" i="2" s="1"/>
  <c r="W61" i="2" s="1"/>
  <c r="X61" i="2" s="1"/>
  <c r="T49" i="1"/>
  <c r="V49" i="1" s="1"/>
  <c r="W49" i="1" s="1"/>
  <c r="C73" i="1"/>
  <c r="U13" i="2"/>
  <c r="W13" i="2" s="1"/>
  <c r="X13" i="2" s="1"/>
  <c r="O20" i="2"/>
  <c r="O92" i="2" s="1"/>
  <c r="R20" i="2"/>
  <c r="R92" i="2" s="1"/>
  <c r="E16" i="2"/>
  <c r="U16" i="2" s="1"/>
  <c r="W16" i="2" s="1"/>
  <c r="T17" i="1"/>
  <c r="V17" i="1" s="1"/>
  <c r="G29" i="2"/>
  <c r="F45" i="1"/>
  <c r="U71" i="2"/>
  <c r="W71" i="2" s="1"/>
  <c r="X71" i="2" s="1"/>
  <c r="F55" i="2"/>
  <c r="T48" i="1"/>
  <c r="V48" i="1" s="1"/>
  <c r="W48" i="1" s="1"/>
  <c r="K53" i="1"/>
  <c r="L70" i="2"/>
  <c r="U70" i="2" s="1"/>
  <c r="W70" i="2" s="1"/>
  <c r="X70" i="2" s="1"/>
  <c r="U57" i="2"/>
  <c r="W57" i="2" s="1"/>
  <c r="X57" i="2" s="1"/>
  <c r="T47" i="1"/>
  <c r="V47" i="1" s="1"/>
  <c r="W47" i="1" s="1"/>
  <c r="G42" i="2"/>
  <c r="L82" i="2"/>
  <c r="U82" i="2" s="1"/>
  <c r="T72" i="1"/>
  <c r="V72" i="1" s="1"/>
  <c r="U66" i="2"/>
  <c r="W66" i="2" s="1"/>
  <c r="X66" i="2" s="1"/>
  <c r="P22" i="1"/>
  <c r="M45" i="1"/>
  <c r="F73" i="1"/>
  <c r="F20" i="2"/>
  <c r="E73" i="1"/>
  <c r="E44" i="2"/>
  <c r="U44" i="2" s="1"/>
  <c r="W44" i="2" s="1"/>
  <c r="X44" i="2" s="1"/>
  <c r="T30" i="1"/>
  <c r="V30" i="1" s="1"/>
  <c r="W30" i="1" s="1"/>
  <c r="K32" i="1"/>
  <c r="H20" i="2"/>
  <c r="G73" i="1"/>
  <c r="U19" i="2"/>
  <c r="K22" i="2"/>
  <c r="U22" i="2" s="1"/>
  <c r="W22" i="2" s="1"/>
  <c r="X22" i="2" s="1"/>
  <c r="E62" i="1"/>
  <c r="F43" i="2"/>
  <c r="U43" i="2" s="1"/>
  <c r="W43" i="2" s="1"/>
  <c r="X43" i="2" s="1"/>
  <c r="U30" i="2"/>
  <c r="W30" i="2" s="1"/>
  <c r="X30" i="2" s="1"/>
  <c r="U46" i="2"/>
  <c r="W46" i="2" s="1"/>
  <c r="G32" i="1"/>
  <c r="T63" i="1"/>
  <c r="T14" i="1"/>
  <c r="V14" i="1" s="1"/>
  <c r="W14" i="1" s="1"/>
  <c r="I32" i="1"/>
  <c r="T13" i="1"/>
  <c r="V13" i="1" s="1"/>
  <c r="W13" i="1" s="1"/>
  <c r="T29" i="1"/>
  <c r="V29" i="1" s="1"/>
  <c r="W29" i="1" s="1"/>
  <c r="E41" i="2"/>
  <c r="D53" i="1"/>
  <c r="U72" i="2"/>
  <c r="W72" i="2" s="1"/>
  <c r="X72" i="2" s="1"/>
  <c r="U76" i="2"/>
  <c r="W76" i="2" s="1"/>
  <c r="X76" i="2" s="1"/>
  <c r="U12" i="2"/>
  <c r="W12" i="2" s="1"/>
  <c r="X12" i="2" s="1"/>
  <c r="O32" i="1"/>
  <c r="E53" i="1"/>
  <c r="U55" i="2"/>
  <c r="W55" i="2" s="1"/>
  <c r="X55" i="2" s="1"/>
  <c r="U80" i="2"/>
  <c r="W80" i="2" s="1"/>
  <c r="X80" i="2" s="1"/>
  <c r="J22" i="1"/>
  <c r="H45" i="1"/>
  <c r="H73" i="1"/>
  <c r="N92" i="2"/>
  <c r="I45" i="1"/>
  <c r="J29" i="2"/>
  <c r="J20" i="2"/>
  <c r="I73" i="1"/>
  <c r="I76" i="1" s="1"/>
  <c r="U54" i="2"/>
  <c r="W54" i="2" s="1"/>
  <c r="X54" i="2" s="1"/>
  <c r="M22" i="1"/>
  <c r="M76" i="1" s="1"/>
  <c r="K29" i="2"/>
  <c r="J45" i="1"/>
  <c r="J53" i="1"/>
  <c r="J73" i="1"/>
  <c r="K20" i="2"/>
  <c r="O22" i="1"/>
  <c r="T15" i="1"/>
  <c r="V15" i="1" s="1"/>
  <c r="W15" i="1" s="1"/>
  <c r="D32" i="1"/>
  <c r="E21" i="2"/>
  <c r="U21" i="2" s="1"/>
  <c r="W21" i="2" s="1"/>
  <c r="X21" i="2" s="1"/>
  <c r="K45" i="1"/>
  <c r="K73" i="1"/>
  <c r="K76" i="1" s="1"/>
  <c r="L20" i="2"/>
  <c r="L92" i="2" s="1"/>
  <c r="U34" i="2"/>
  <c r="W34" i="2" s="1"/>
  <c r="X34" i="2" s="1"/>
  <c r="U73" i="2"/>
  <c r="W73" i="2" s="1"/>
  <c r="X73" i="2" s="1"/>
  <c r="N32" i="1"/>
  <c r="T67" i="1"/>
  <c r="V67" i="1" s="1"/>
  <c r="W67" i="1" s="1"/>
  <c r="T69" i="1"/>
  <c r="V69" i="1" s="1"/>
  <c r="W69" i="1" s="1"/>
  <c r="U86" i="2"/>
  <c r="W86" i="2" s="1"/>
  <c r="R73" i="1"/>
  <c r="S73" i="1"/>
  <c r="T66" i="1"/>
  <c r="V66" i="1" s="1"/>
  <c r="W66" i="1" s="1"/>
  <c r="U29" i="2" l="1"/>
  <c r="W29" i="2" s="1"/>
  <c r="X29" i="2" s="1"/>
  <c r="S76" i="1"/>
  <c r="N76" i="1"/>
  <c r="F76" i="1"/>
  <c r="T53" i="1"/>
  <c r="E92" i="2"/>
  <c r="T32" i="1"/>
  <c r="V23" i="1"/>
  <c r="Q76" i="1"/>
  <c r="U41" i="2"/>
  <c r="W41" i="2" s="1"/>
  <c r="X41" i="2" s="1"/>
  <c r="E76" i="1"/>
  <c r="D76" i="1"/>
  <c r="T62" i="1"/>
  <c r="V62" i="1" s="1"/>
  <c r="W62" i="1" s="1"/>
  <c r="V54" i="1"/>
  <c r="W54" i="1" s="1"/>
  <c r="V63" i="1"/>
  <c r="T73" i="1"/>
  <c r="T76" i="1" s="1"/>
  <c r="V76" i="1" s="1"/>
  <c r="W76" i="1" s="1"/>
  <c r="G92" i="2"/>
  <c r="K92" i="2"/>
  <c r="V53" i="1"/>
  <c r="W53" i="1" s="1"/>
  <c r="F92" i="2"/>
  <c r="U11" i="2"/>
  <c r="G76" i="1"/>
  <c r="T45" i="1"/>
  <c r="V33" i="1"/>
  <c r="J76" i="1"/>
  <c r="R76" i="1"/>
  <c r="U20" i="2"/>
  <c r="W20" i="2" s="1"/>
  <c r="X20" i="2" s="1"/>
  <c r="C76" i="1"/>
  <c r="L76" i="1"/>
  <c r="H92" i="2"/>
  <c r="V12" i="1"/>
  <c r="U4" i="1"/>
  <c r="T22" i="1"/>
  <c r="H76" i="1"/>
  <c r="V73" i="1" l="1"/>
  <c r="W73" i="1" s="1"/>
  <c r="W63" i="1"/>
  <c r="V22" i="1"/>
  <c r="W12" i="1"/>
  <c r="W33" i="1"/>
  <c r="V45" i="1"/>
  <c r="W45" i="1" s="1"/>
  <c r="W23" i="1"/>
  <c r="V32" i="1"/>
  <c r="W32" i="1" s="1"/>
  <c r="U92" i="2"/>
  <c r="U102" i="2" s="1"/>
  <c r="W11" i="2"/>
  <c r="W92" i="2" l="1"/>
  <c r="X92" i="2" s="1"/>
  <c r="X11" i="2"/>
  <c r="V81" i="1"/>
  <c r="V82" i="1" s="1"/>
  <c r="W22" i="1"/>
</calcChain>
</file>

<file path=xl/sharedStrings.xml><?xml version="1.0" encoding="utf-8"?>
<sst xmlns="http://schemas.openxmlformats.org/spreadsheetml/2006/main" count="225" uniqueCount="122">
  <si>
    <t xml:space="preserve"> </t>
  </si>
  <si>
    <t>Account</t>
  </si>
  <si>
    <t>Accounting</t>
  </si>
  <si>
    <t>Administration</t>
  </si>
  <si>
    <t>Board</t>
  </si>
  <si>
    <t>Human Resources</t>
  </si>
  <si>
    <t>Internal Audit</t>
  </si>
  <si>
    <t>Legal Services</t>
  </si>
  <si>
    <t xml:space="preserve">Procurement </t>
  </si>
  <si>
    <t>Business Diversity</t>
  </si>
  <si>
    <t>Public Affairs</t>
  </si>
  <si>
    <t>Shared Services</t>
  </si>
  <si>
    <t>Treasury &amp; Financial Planning</t>
  </si>
  <si>
    <t>Contact Center and Collections</t>
  </si>
  <si>
    <t>Information Technology</t>
  </si>
  <si>
    <t>Maintenance</t>
  </si>
  <si>
    <t>Operations</t>
  </si>
  <si>
    <t>Project Delivery</t>
  </si>
  <si>
    <t>Traffic &amp; Incident Mgmt</t>
  </si>
  <si>
    <t>FY2025
Budget</t>
  </si>
  <si>
    <t>FY2024 
Budget</t>
  </si>
  <si>
    <r>
      <t xml:space="preserve">Increase or </t>
    </r>
    <r>
      <rPr>
        <b/>
        <sz val="10"/>
        <color rgb="FFFF0000"/>
        <rFont val="Microsoft Sans Serif"/>
        <family val="2"/>
      </rPr>
      <t>(Decrease)</t>
    </r>
    <r>
      <rPr>
        <b/>
        <sz val="10"/>
        <rFont val="Microsoft Sans Serif"/>
        <family val="2"/>
      </rPr>
      <t xml:space="preserve"> Amount</t>
    </r>
  </si>
  <si>
    <r>
      <t xml:space="preserve">Increase or </t>
    </r>
    <r>
      <rPr>
        <b/>
        <sz val="10"/>
        <color rgb="FFFF0000"/>
        <rFont val="Microsoft Sans Serif"/>
        <family val="2"/>
      </rPr>
      <t>(Decrease)</t>
    </r>
    <r>
      <rPr>
        <b/>
        <sz val="10"/>
        <rFont val="Microsoft Sans Serif"/>
        <family val="2"/>
      </rPr>
      <t xml:space="preserve"> Percent</t>
    </r>
  </si>
  <si>
    <t>511101-Salaries and Wages-Direct</t>
  </si>
  <si>
    <t>511202-Salaries and Wages-Internship</t>
  </si>
  <si>
    <t>511301-Salaries and Wage-Overtime</t>
  </si>
  <si>
    <t>512101-Group Insurance</t>
  </si>
  <si>
    <t>512401-Retirement Contributions</t>
  </si>
  <si>
    <t>512402-Retirement Contr.-Internship</t>
  </si>
  <si>
    <t>-</t>
  </si>
  <si>
    <t>512501-Tuition Reimbursement</t>
  </si>
  <si>
    <t>512601-Unemployment Insurance</t>
  </si>
  <si>
    <t>512602-OPEB Annual Req'd Contribution</t>
  </si>
  <si>
    <t>512701-Worker's Comp Ins</t>
  </si>
  <si>
    <t>Salaries &amp; Benefits</t>
  </si>
  <si>
    <t>521201-Consulting/Professional</t>
  </si>
  <si>
    <t>521202-Legal Fees</t>
  </si>
  <si>
    <t>521203-Auditing Fees</t>
  </si>
  <si>
    <t>521204-Trustee Fees</t>
  </si>
  <si>
    <t>521207-Traffic Engineering Fees</t>
  </si>
  <si>
    <t>521208-Police Services (DPS)</t>
  </si>
  <si>
    <t>521209-Armored Car Services</t>
  </si>
  <si>
    <t>523301-Recruitment</t>
  </si>
  <si>
    <t>523851-Temporary Contract Labor</t>
  </si>
  <si>
    <t>Consulting &amp; Professional Services</t>
  </si>
  <si>
    <t>521212-Outside Maintenance Services</t>
  </si>
  <si>
    <t>522202-Landscaping</t>
  </si>
  <si>
    <t>522301-Rentals - Land</t>
  </si>
  <si>
    <t>522302-Rentals - Equipment</t>
  </si>
  <si>
    <t>523801-Licenses</t>
  </si>
  <si>
    <t>531102-Other Materials and Supplies</t>
  </si>
  <si>
    <t>531107-Motor Fuel Expense</t>
  </si>
  <si>
    <t>531211-Water</t>
  </si>
  <si>
    <t>531221-Gas</t>
  </si>
  <si>
    <t>531231-Electricity</t>
  </si>
  <si>
    <t>531601-Small Tools and Shop Supplies</t>
  </si>
  <si>
    <t>531701-Uniforms</t>
  </si>
  <si>
    <t>523201-Postage</t>
  </si>
  <si>
    <t>523202-Telecommunications</t>
  </si>
  <si>
    <t>523701-Education and Training</t>
  </si>
  <si>
    <t>531103-Mobile Equipment Expense</t>
  </si>
  <si>
    <t>531501-Inven for resale(toll tags)</t>
  </si>
  <si>
    <t>531651-Software</t>
  </si>
  <si>
    <t>573002-Credit Card Fees</t>
  </si>
  <si>
    <t>523203-Public Information Fees</t>
  </si>
  <si>
    <t>523302-Digital_Out of Home</t>
  </si>
  <si>
    <t>523303-Television &amp; Radio</t>
  </si>
  <si>
    <t>523304-Promotional Expenses</t>
  </si>
  <si>
    <t>523306-Media Buy And Advertising</t>
  </si>
  <si>
    <t>523307- Media Production</t>
  </si>
  <si>
    <t>523401-Printing and Photographic</t>
  </si>
  <si>
    <t>523402-Maps &amp; Pamphlets</t>
  </si>
  <si>
    <t>Business &amp; Marketing</t>
  </si>
  <si>
    <t>521101-Meeting Expense</t>
  </si>
  <si>
    <t>523101-Insurance Expense - Other</t>
  </si>
  <si>
    <t>523305-Employee Appreciation</t>
  </si>
  <si>
    <t>523501-Travel</t>
  </si>
  <si>
    <t>523601-Dues &amp; Subscriptions</t>
  </si>
  <si>
    <t>523902-Liability Claims</t>
  </si>
  <si>
    <t>531101-Office Supplies</t>
  </si>
  <si>
    <t>531105-Freight and Express</t>
  </si>
  <si>
    <t>531401-Books &amp; Periodicals</t>
  </si>
  <si>
    <t>573001-Bank Charges</t>
  </si>
  <si>
    <t>Administrative</t>
  </si>
  <si>
    <t>Region</t>
  </si>
  <si>
    <t>Enterprise Fund (Regional Tolling Services)</t>
  </si>
  <si>
    <t>Totals</t>
  </si>
  <si>
    <t>Procurement</t>
  </si>
  <si>
    <t>FY2024
Budget</t>
  </si>
  <si>
    <r>
      <t xml:space="preserve">Increase or
</t>
    </r>
    <r>
      <rPr>
        <b/>
        <sz val="10"/>
        <color rgb="FFFF0000"/>
        <rFont val="Cambria"/>
        <family val="1"/>
      </rPr>
      <t>(Decrease)</t>
    </r>
    <r>
      <rPr>
        <b/>
        <sz val="10"/>
        <rFont val="Cambria"/>
        <family val="1"/>
      </rPr>
      <t xml:space="preserve">
Amount</t>
    </r>
  </si>
  <si>
    <r>
      <t xml:space="preserve">Increase or
</t>
    </r>
    <r>
      <rPr>
        <b/>
        <sz val="10"/>
        <color rgb="FFFF0000"/>
        <rFont val="Cambria"/>
        <family val="1"/>
      </rPr>
      <t>(Decrease)</t>
    </r>
    <r>
      <rPr>
        <b/>
        <sz val="10"/>
        <rFont val="Cambria"/>
        <family val="1"/>
      </rPr>
      <t xml:space="preserve">
Percent</t>
    </r>
  </si>
  <si>
    <t>521205-Rating Agency Fees</t>
  </si>
  <si>
    <t>521213-General Engineering</t>
  </si>
  <si>
    <t>521301-Consulting/Profess Serv Tech</t>
  </si>
  <si>
    <t>522201-Repairs and Maintenance</t>
  </si>
  <si>
    <t>522203-Signing Expense</t>
  </si>
  <si>
    <t>522204-Pavement Markings</t>
  </si>
  <si>
    <t>522205-Pavement &amp; Shoulders</t>
  </si>
  <si>
    <t>522206-Bridge Repairs</t>
  </si>
  <si>
    <t>531106-Electronic Supplies</t>
  </si>
  <si>
    <t>531261-Utility Relocation Costs</t>
  </si>
  <si>
    <t>531611-Machinery</t>
  </si>
  <si>
    <t>531621-Vehicles</t>
  </si>
  <si>
    <t>531641-Computers</t>
  </si>
  <si>
    <t>541301-Buildings</t>
  </si>
  <si>
    <t>541302-Building Improvements</t>
  </si>
  <si>
    <t>541401-Infrastructure Rdway/Hwy/Bridg</t>
  </si>
  <si>
    <t>541402-Infrastructure Right -of -Way</t>
  </si>
  <si>
    <t>541403-Infrastructure-Other</t>
  </si>
  <si>
    <t>173003-Right of Way (06)</t>
  </si>
  <si>
    <t>173005-Administration (01)</t>
  </si>
  <si>
    <t>0</t>
  </si>
  <si>
    <t>173005-Planning (02)</t>
  </si>
  <si>
    <t>173005-Design (03)</t>
  </si>
  <si>
    <t>176001-Construction</t>
  </si>
  <si>
    <t>176001-Equipment/Hardware (05)</t>
  </si>
  <si>
    <t>176001-Utility Relo (07)</t>
  </si>
  <si>
    <t>opr</t>
  </si>
  <si>
    <t>capital</t>
  </si>
  <si>
    <t>RMF</t>
  </si>
  <si>
    <t>CIF</t>
  </si>
  <si>
    <t>Indirect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</si>
</sst>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&quot;Account&quot;"/>
    <numFmt numFmtId="166" formatCode="#,##0;&quot;-&quot;#,##0"/>
    <numFmt numFmtId="167" formatCode="#,##0;&quot;(&quot;#,##0&quot;)&quot;"/>
    <numFmt numFmtId="168" formatCode="_(&quot;$&quot;* #,##0_);_(&quot;$&quot;* \(#,##0\);_(&quot;$&quot;* &quot;-&quot;??_);_(@_)"/>
    <numFmt numFmtId="169" formatCode="0.0%_);[Red]\ \ \(0.0%\)"/>
    <numFmt numFmtId="170" formatCode="_(* #,##0_);_(* \(#,##0\);_(* &quot;-&quot;??_);_(@_)"/>
    <numFmt numFmtId="171" formatCode="&quot;$&quot;#,##0;&quot;($&quot;#,##0&quot;)&quot;"/>
    <numFmt numFmtId="172" formatCode="&quot;$&quot;#,##0"/>
    <numFmt numFmtId="173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Microsoft Sans Serif"/>
      <family val="2"/>
    </font>
    <font>
      <sz val="10"/>
      <name val="Calibri"/>
      <family val="2"/>
      <scheme val="minor"/>
    </font>
    <font>
      <b/>
      <sz val="10"/>
      <name val="Microsoft Sans Serif"/>
      <family val="2"/>
    </font>
    <font>
      <b/>
      <sz val="10"/>
      <color rgb="FFFF0000"/>
      <name val="Microsoft Sans Serif"/>
      <family val="2"/>
    </font>
    <font>
      <sz val="10"/>
      <name val="Microsoft Sans Serif"/>
      <family val="2"/>
    </font>
    <font>
      <sz val="10"/>
      <color rgb="FF000000"/>
      <name val="Microsoft Sans Serif"/>
      <family val="2"/>
    </font>
    <font>
      <sz val="10"/>
      <color rgb="FFFF0000"/>
      <name val="Microsoft Sans Serif"/>
      <family val="2"/>
    </font>
    <font>
      <b/>
      <sz val="10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0"/>
      <color rgb="FFFF0000"/>
      <name val="Cambria"/>
      <family val="1"/>
    </font>
    <font>
      <sz val="10"/>
      <color rgb="FF000000"/>
      <name val="Cambria"/>
      <family val="1"/>
    </font>
    <font>
      <sz val="10"/>
      <color rgb="FFFF0000"/>
      <name val="Cambria"/>
      <family val="1"/>
    </font>
    <font>
      <sz val="8"/>
      <color rgb="FF00000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vertical="top" wrapText="1"/>
    </xf>
    <xf numFmtId="0" fontId="2" fillId="0" borderId="0" xfId="0" applyFont="1"/>
    <xf numFmtId="0" fontId="2" fillId="4" borderId="0" xfId="0" applyFont="1" applyFill="1"/>
    <xf numFmtId="6" fontId="3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164" fontId="2" fillId="3" borderId="0" xfId="0" applyNumberFormat="1" applyFont="1" applyFill="1" applyAlignment="1">
      <alignment wrapText="1"/>
    </xf>
    <xf numFmtId="0" fontId="4" fillId="0" borderId="0" xfId="0" applyFont="1"/>
    <xf numFmtId="165" fontId="5" fillId="0" borderId="0" xfId="0" quotePrefix="1" applyNumberFormat="1" applyFont="1" applyAlignment="1">
      <alignment horizontal="left"/>
    </xf>
    <xf numFmtId="166" fontId="5" fillId="0" borderId="0" xfId="0" quotePrefix="1" applyNumberFormat="1" applyFont="1" applyAlignment="1">
      <alignment horizontal="center" wrapText="1"/>
    </xf>
    <xf numFmtId="166" fontId="5" fillId="0" borderId="0" xfId="0" quotePrefix="1" applyNumberFormat="1" applyFont="1" applyAlignment="1">
      <alignment horizontal="right" wrapText="1"/>
    </xf>
    <xf numFmtId="166" fontId="5" fillId="0" borderId="0" xfId="0" quotePrefix="1" applyNumberFormat="1" applyFont="1" applyAlignment="1">
      <alignment horizontal="right" vertical="top" wrapText="1"/>
    </xf>
    <xf numFmtId="0" fontId="4" fillId="4" borderId="0" xfId="0" applyFont="1" applyFill="1"/>
    <xf numFmtId="166" fontId="7" fillId="3" borderId="1" xfId="0" applyNumberFormat="1" applyFont="1" applyFill="1" applyBorder="1" applyAlignment="1">
      <alignment horizontal="left"/>
    </xf>
    <xf numFmtId="167" fontId="7" fillId="3" borderId="1" xfId="0" applyNumberFormat="1" applyFont="1" applyFill="1" applyBorder="1" applyAlignment="1">
      <alignment horizontal="right"/>
    </xf>
    <xf numFmtId="167" fontId="8" fillId="3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6" fontId="7" fillId="3" borderId="0" xfId="0" quotePrefix="1" applyNumberFormat="1" applyFont="1" applyFill="1" applyAlignment="1">
      <alignment horizontal="left"/>
    </xf>
    <xf numFmtId="168" fontId="7" fillId="3" borderId="0" xfId="2" applyNumberFormat="1" applyFont="1" applyFill="1" applyAlignment="1">
      <alignment horizontal="right"/>
    </xf>
    <xf numFmtId="168" fontId="9" fillId="3" borderId="0" xfId="2" applyNumberFormat="1" applyFont="1" applyFill="1" applyAlignment="1">
      <alignment horizontal="right"/>
    </xf>
    <xf numFmtId="168" fontId="8" fillId="3" borderId="0" xfId="2" applyNumberFormat="1" applyFont="1" applyFill="1" applyAlignment="1">
      <alignment horizontal="right"/>
    </xf>
    <xf numFmtId="169" fontId="8" fillId="3" borderId="0" xfId="3" applyNumberFormat="1" applyFont="1" applyFill="1" applyAlignment="1">
      <alignment horizontal="right"/>
    </xf>
    <xf numFmtId="43" fontId="7" fillId="3" borderId="0" xfId="1" applyFont="1" applyFill="1" applyAlignment="1">
      <alignment horizontal="right"/>
    </xf>
    <xf numFmtId="170" fontId="7" fillId="3" borderId="0" xfId="1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38" fontId="8" fillId="3" borderId="0" xfId="2" applyNumberFormat="1" applyFont="1" applyFill="1" applyAlignment="1">
      <alignment horizontal="right"/>
    </xf>
    <xf numFmtId="170" fontId="7" fillId="3" borderId="0" xfId="1" applyNumberFormat="1" applyFont="1" applyFill="1" applyAlignment="1">
      <alignment horizontal="right" indent="4"/>
    </xf>
    <xf numFmtId="170" fontId="7" fillId="3" borderId="0" xfId="1" applyNumberFormat="1" applyFont="1" applyFill="1" applyAlignment="1">
      <alignment horizontal="right" indent="2"/>
    </xf>
    <xf numFmtId="170" fontId="8" fillId="3" borderId="0" xfId="1" applyNumberFormat="1" applyFont="1" applyFill="1" applyAlignment="1">
      <alignment horizontal="right" indent="2"/>
    </xf>
    <xf numFmtId="43" fontId="8" fillId="3" borderId="0" xfId="1" applyFont="1" applyFill="1" applyAlignment="1">
      <alignment horizontal="right"/>
    </xf>
    <xf numFmtId="0" fontId="10" fillId="5" borderId="0" xfId="0" applyFont="1" applyFill="1" applyAlignment="1">
      <alignment horizontal="left"/>
    </xf>
    <xf numFmtId="166" fontId="5" fillId="5" borderId="0" xfId="0" quotePrefix="1" applyNumberFormat="1" applyFont="1" applyFill="1" applyAlignment="1">
      <alignment horizontal="left"/>
    </xf>
    <xf numFmtId="168" fontId="5" fillId="5" borderId="0" xfId="2" applyNumberFormat="1" applyFont="1" applyFill="1" applyAlignment="1">
      <alignment horizontal="right"/>
    </xf>
    <xf numFmtId="42" fontId="5" fillId="5" borderId="0" xfId="2" applyNumberFormat="1" applyFont="1" applyFill="1" applyAlignment="1">
      <alignment horizontal="right"/>
    </xf>
    <xf numFmtId="169" fontId="5" fillId="5" borderId="0" xfId="3" applyNumberFormat="1" applyFont="1" applyFill="1" applyAlignment="1">
      <alignment horizontal="right"/>
    </xf>
    <xf numFmtId="0" fontId="10" fillId="4" borderId="0" xfId="0" applyFont="1" applyFill="1"/>
    <xf numFmtId="0" fontId="10" fillId="5" borderId="0" xfId="0" applyFont="1" applyFill="1"/>
    <xf numFmtId="170" fontId="9" fillId="3" borderId="0" xfId="1" applyNumberFormat="1" applyFont="1" applyFill="1" applyAlignment="1">
      <alignment horizontal="right"/>
    </xf>
    <xf numFmtId="166" fontId="7" fillId="0" borderId="0" xfId="0" quotePrefix="1" applyNumberFormat="1" applyFont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0" xfId="0" applyFont="1" applyFill="1"/>
    <xf numFmtId="166" fontId="7" fillId="4" borderId="0" xfId="0" quotePrefix="1" applyNumberFormat="1" applyFont="1" applyFill="1" applyAlignment="1">
      <alignment horizontal="left"/>
    </xf>
    <xf numFmtId="170" fontId="7" fillId="3" borderId="0" xfId="2" applyNumberFormat="1" applyFont="1" applyFill="1" applyAlignment="1">
      <alignment horizontal="right"/>
    </xf>
    <xf numFmtId="168" fontId="6" fillId="5" borderId="0" xfId="2" applyNumberFormat="1" applyFont="1" applyFill="1" applyAlignment="1">
      <alignment horizontal="right"/>
    </xf>
    <xf numFmtId="166" fontId="5" fillId="3" borderId="0" xfId="0" applyNumberFormat="1" applyFont="1" applyFill="1" applyAlignment="1">
      <alignment horizontal="left" vertical="center"/>
    </xf>
    <xf numFmtId="166" fontId="5" fillId="3" borderId="0" xfId="0" applyNumberFormat="1" applyFont="1" applyFill="1" applyAlignment="1">
      <alignment horizontal="right" vertical="center"/>
    </xf>
    <xf numFmtId="166" fontId="3" fillId="3" borderId="0" xfId="0" applyNumberFormat="1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9" fontId="3" fillId="3" borderId="0" xfId="3" applyNumberFormat="1" applyFont="1" applyFill="1" applyAlignment="1">
      <alignment horizontal="right" vertical="center"/>
    </xf>
    <xf numFmtId="38" fontId="5" fillId="5" borderId="0" xfId="0" applyNumberFormat="1" applyFont="1" applyFill="1" applyAlignment="1">
      <alignment horizontal="right"/>
    </xf>
    <xf numFmtId="167" fontId="6" fillId="5" borderId="0" xfId="0" applyNumberFormat="1" applyFont="1" applyFill="1" applyAlignment="1">
      <alignment horizontal="right"/>
    </xf>
    <xf numFmtId="171" fontId="5" fillId="0" borderId="2" xfId="0" quotePrefix="1" applyNumberFormat="1" applyFont="1" applyBorder="1" applyAlignment="1">
      <alignment horizontal="left" vertical="center"/>
    </xf>
    <xf numFmtId="168" fontId="5" fillId="0" borderId="2" xfId="2" applyNumberFormat="1" applyFont="1" applyFill="1" applyBorder="1" applyAlignment="1">
      <alignment horizontal="right" vertical="center"/>
    </xf>
    <xf numFmtId="168" fontId="6" fillId="0" borderId="2" xfId="2" applyNumberFormat="1" applyFont="1" applyFill="1" applyBorder="1" applyAlignment="1">
      <alignment horizontal="right" vertical="center"/>
    </xf>
    <xf numFmtId="169" fontId="5" fillId="0" borderId="2" xfId="3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171" fontId="2" fillId="0" borderId="0" xfId="0" applyNumberFormat="1" applyFont="1" applyAlignment="1">
      <alignment wrapText="1"/>
    </xf>
    <xf numFmtId="171" fontId="2" fillId="3" borderId="0" xfId="0" applyNumberFormat="1" applyFont="1" applyFill="1" applyAlignment="1">
      <alignment wrapText="1"/>
    </xf>
    <xf numFmtId="171" fontId="2" fillId="0" borderId="0" xfId="0" applyNumberFormat="1" applyFont="1"/>
    <xf numFmtId="44" fontId="2" fillId="2" borderId="0" xfId="0" applyNumberFormat="1" applyFont="1" applyFill="1"/>
    <xf numFmtId="171" fontId="2" fillId="2" borderId="0" xfId="0" applyNumberFormat="1" applyFont="1" applyFill="1"/>
    <xf numFmtId="6" fontId="2" fillId="2" borderId="0" xfId="0" applyNumberFormat="1" applyFont="1" applyFill="1"/>
    <xf numFmtId="0" fontId="11" fillId="2" borderId="0" xfId="0" applyFont="1" applyFill="1"/>
    <xf numFmtId="0" fontId="11" fillId="0" borderId="0" xfId="0" applyFont="1"/>
    <xf numFmtId="0" fontId="12" fillId="3" borderId="0" xfId="0" applyFont="1" applyFill="1" applyAlignment="1">
      <alignment vertical="top" wrapText="1"/>
    </xf>
    <xf numFmtId="0" fontId="11" fillId="3" borderId="0" xfId="0" applyFont="1" applyFill="1" applyAlignment="1">
      <alignment wrapText="1"/>
    </xf>
    <xf numFmtId="170" fontId="11" fillId="2" borderId="0" xfId="1" applyNumberFormat="1" applyFont="1" applyFill="1"/>
    <xf numFmtId="0" fontId="11" fillId="3" borderId="0" xfId="0" applyFont="1" applyFill="1"/>
    <xf numFmtId="170" fontId="11" fillId="3" borderId="0" xfId="0" applyNumberFormat="1" applyFont="1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70" fontId="11" fillId="3" borderId="0" xfId="1" applyNumberFormat="1" applyFont="1" applyFill="1" applyAlignment="1"/>
    <xf numFmtId="0" fontId="13" fillId="0" borderId="0" xfId="0" applyFont="1" applyAlignment="1">
      <alignment wrapText="1"/>
    </xf>
    <xf numFmtId="166" fontId="12" fillId="3" borderId="3" xfId="0" applyNumberFormat="1" applyFont="1" applyFill="1" applyBorder="1" applyAlignment="1">
      <alignment horizontal="left"/>
    </xf>
    <xf numFmtId="166" fontId="14" fillId="0" borderId="3" xfId="0" quotePrefix="1" applyNumberFormat="1" applyFont="1" applyBorder="1" applyAlignment="1">
      <alignment horizontal="center" wrapText="1"/>
    </xf>
    <xf numFmtId="166" fontId="14" fillId="4" borderId="0" xfId="0" quotePrefix="1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/>
    </xf>
    <xf numFmtId="166" fontId="16" fillId="3" borderId="0" xfId="0" quotePrefix="1" applyNumberFormat="1" applyFont="1" applyFill="1" applyAlignment="1">
      <alignment horizontal="left"/>
    </xf>
    <xf numFmtId="168" fontId="16" fillId="0" borderId="0" xfId="2" applyNumberFormat="1" applyFont="1" applyAlignment="1">
      <alignment horizontal="right"/>
    </xf>
    <xf numFmtId="168" fontId="16" fillId="0" borderId="0" xfId="2" applyNumberFormat="1" applyFont="1" applyFill="1" applyAlignment="1">
      <alignment horizontal="right"/>
    </xf>
    <xf numFmtId="168" fontId="17" fillId="0" borderId="0" xfId="2" applyNumberFormat="1" applyFont="1" applyFill="1" applyAlignment="1">
      <alignment horizontal="right"/>
    </xf>
    <xf numFmtId="168" fontId="13" fillId="0" borderId="0" xfId="2" applyNumberFormat="1" applyFont="1" applyAlignment="1">
      <alignment horizontal="right"/>
    </xf>
    <xf numFmtId="171" fontId="16" fillId="4" borderId="0" xfId="0" applyNumberFormat="1" applyFont="1" applyFill="1" applyAlignment="1">
      <alignment horizontal="right"/>
    </xf>
    <xf numFmtId="169" fontId="16" fillId="4" borderId="0" xfId="0" applyNumberFormat="1" applyFont="1" applyFill="1" applyAlignment="1">
      <alignment horizontal="right"/>
    </xf>
    <xf numFmtId="171" fontId="11" fillId="0" borderId="0" xfId="0" applyNumberFormat="1" applyFont="1"/>
    <xf numFmtId="170" fontId="16" fillId="0" borderId="0" xfId="1" applyNumberFormat="1" applyFont="1" applyAlignment="1">
      <alignment horizontal="right"/>
    </xf>
    <xf numFmtId="170" fontId="16" fillId="0" borderId="0" xfId="1" applyNumberFormat="1" applyFont="1" applyFill="1" applyAlignment="1">
      <alignment horizontal="right"/>
    </xf>
    <xf numFmtId="170" fontId="13" fillId="0" borderId="0" xfId="1" applyNumberFormat="1" applyFont="1" applyFill="1" applyAlignment="1">
      <alignment horizontal="right"/>
    </xf>
    <xf numFmtId="170" fontId="13" fillId="0" borderId="0" xfId="1" applyNumberFormat="1" applyFont="1" applyAlignment="1">
      <alignment horizontal="right"/>
    </xf>
    <xf numFmtId="38" fontId="11" fillId="4" borderId="0" xfId="1" applyNumberFormat="1" applyFont="1" applyFill="1" applyAlignment="1">
      <alignment horizontal="right"/>
    </xf>
    <xf numFmtId="172" fontId="11" fillId="0" borderId="0" xfId="0" applyNumberFormat="1" applyFont="1"/>
    <xf numFmtId="10" fontId="11" fillId="0" borderId="0" xfId="0" applyNumberFormat="1" applyFont="1"/>
    <xf numFmtId="43" fontId="16" fillId="0" borderId="0" xfId="1" applyFont="1" applyAlignment="1">
      <alignment horizontal="right"/>
    </xf>
    <xf numFmtId="43" fontId="18" fillId="3" borderId="0" xfId="1" applyFont="1" applyFill="1" applyAlignment="1">
      <alignment horizontal="right"/>
    </xf>
    <xf numFmtId="0" fontId="0" fillId="2" borderId="0" xfId="0" applyFill="1" applyAlignment="1">
      <alignment horizontal="left"/>
    </xf>
    <xf numFmtId="43" fontId="16" fillId="4" borderId="0" xfId="1" applyFont="1" applyFill="1" applyAlignment="1">
      <alignment horizontal="right"/>
    </xf>
    <xf numFmtId="166" fontId="12" fillId="3" borderId="0" xfId="0" applyNumberFormat="1" applyFont="1" applyFill="1" applyAlignment="1">
      <alignment horizontal="left" vertical="center"/>
    </xf>
    <xf numFmtId="170" fontId="12" fillId="4" borderId="0" xfId="1" applyNumberFormat="1" applyFont="1" applyFill="1" applyAlignment="1">
      <alignment horizontal="right" vertical="center"/>
    </xf>
    <xf numFmtId="170" fontId="12" fillId="0" borderId="0" xfId="1" applyNumberFormat="1" applyFont="1" applyFill="1" applyAlignment="1">
      <alignment horizontal="right" vertical="center"/>
    </xf>
    <xf numFmtId="170" fontId="17" fillId="0" borderId="0" xfId="1" applyNumberFormat="1" applyFont="1" applyFill="1" applyAlignment="1">
      <alignment horizontal="right"/>
    </xf>
    <xf numFmtId="170" fontId="16" fillId="4" borderId="0" xfId="1" applyNumberFormat="1" applyFont="1" applyFill="1" applyAlignment="1">
      <alignment horizontal="right" vertical="center"/>
    </xf>
    <xf numFmtId="171" fontId="12" fillId="0" borderId="2" xfId="0" quotePrefix="1" applyNumberFormat="1" applyFont="1" applyBorder="1" applyAlignment="1">
      <alignment horizontal="left" vertical="center"/>
    </xf>
    <xf numFmtId="171" fontId="12" fillId="0" borderId="2" xfId="0" applyNumberFormat="1" applyFont="1" applyBorder="1" applyAlignment="1">
      <alignment horizontal="right" vertical="center"/>
    </xf>
    <xf numFmtId="168" fontId="12" fillId="0" borderId="2" xfId="2" applyNumberFormat="1" applyFont="1" applyBorder="1" applyAlignment="1">
      <alignment horizontal="right" vertical="center"/>
    </xf>
    <xf numFmtId="168" fontId="12" fillId="0" borderId="2" xfId="2" applyNumberFormat="1" applyFont="1" applyFill="1" applyBorder="1" applyAlignment="1">
      <alignment horizontal="right" vertical="center"/>
    </xf>
    <xf numFmtId="169" fontId="14" fillId="4" borderId="2" xfId="3" applyNumberFormat="1" applyFont="1" applyFill="1" applyBorder="1" applyAlignment="1">
      <alignment horizontal="right" vertical="center"/>
    </xf>
    <xf numFmtId="169" fontId="14" fillId="4" borderId="0" xfId="3" applyNumberFormat="1" applyFont="1" applyFill="1" applyBorder="1" applyAlignment="1">
      <alignment horizontal="right" vertical="center"/>
    </xf>
    <xf numFmtId="0" fontId="16" fillId="3" borderId="0" xfId="0" applyFont="1" applyFill="1" applyAlignment="1">
      <alignment wrapText="1"/>
    </xf>
    <xf numFmtId="0" fontId="11" fillId="4" borderId="0" xfId="0" applyFont="1" applyFill="1"/>
    <xf numFmtId="171" fontId="11" fillId="4" borderId="0" xfId="0" applyNumberFormat="1" applyFont="1" applyFill="1"/>
    <xf numFmtId="170" fontId="11" fillId="0" borderId="0" xfId="1" applyNumberFormat="1" applyFont="1" applyFill="1"/>
    <xf numFmtId="171" fontId="11" fillId="3" borderId="0" xfId="0" applyNumberFormat="1" applyFont="1" applyFill="1"/>
    <xf numFmtId="173" fontId="11" fillId="0" borderId="0" xfId="0" applyNumberFormat="1" applyFont="1"/>
    <xf numFmtId="171" fontId="11" fillId="6" borderId="0" xfId="0" applyNumberFormat="1" applyFont="1" applyFill="1"/>
    <xf numFmtId="170" fontId="11" fillId="0" borderId="0" xfId="0" applyNumberFormat="1" applyFont="1"/>
    <xf numFmtId="43" fontId="11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images/spacer.gif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1021373</xdr:colOff>
      <xdr:row>1</xdr:row>
      <xdr:rowOff>66675</xdr:rowOff>
    </xdr:from>
    <xdr:ext cx="2900729" cy="506742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55F2FDA-0FAB-4DAA-9227-F1469A1144FC}"/>
            </a:ext>
          </a:extLst>
        </xdr:cNvPr>
        <xdr:cNvSpPr txBox="1">
          <a:spLocks noChangeArrowheads="1"/>
        </xdr:cNvSpPr>
      </xdr:nvSpPr>
      <xdr:spPr bwMode="auto">
        <a:xfrm>
          <a:off x="1646213" y="241935"/>
          <a:ext cx="2900729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Operation and Maintenance Fund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FY2025</a:t>
          </a:r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9525" cy="9525"/>
    <xdr:pic>
      <xdr:nvPicPr>
        <xdr:cNvPr id="3" name="Picture 6" descr="../images/spacer.gif">
          <a:extLst>
            <a:ext uri="{FF2B5EF4-FFF2-40B4-BE49-F238E27FC236}">
              <a16:creationId xmlns:a16="http://schemas.microsoft.com/office/drawing/2014/main" id="{DFADA196-BCB4-4DD5-A174-E9A3C815D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1658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196427</xdr:colOff>
          <xdr:row>1</xdr:row>
          <xdr:rowOff>36407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04897D7-761C-446B-B303-6E17E796D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2465493</xdr:colOff>
          <xdr:row>0</xdr:row>
          <xdr:rowOff>0</xdr:rowOff>
        </xdr:from>
        <xdr:to>
          <xdr:col>3</xdr:col>
          <xdr:colOff>739987</xdr:colOff>
          <xdr:row>1</xdr:row>
          <xdr:rowOff>36407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77405B85-10ED-43FA-A48F-DB843935BE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2465493</xdr:colOff>
          <xdr:row>0</xdr:row>
          <xdr:rowOff>0</xdr:rowOff>
        </xdr:from>
        <xdr:to>
          <xdr:col>3</xdr:col>
          <xdr:colOff>739987</xdr:colOff>
          <xdr:row>1</xdr:row>
          <xdr:rowOff>36407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5408A60A-308D-4146-9440-4E186112DB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2</xdr:col>
      <xdr:colOff>0</xdr:colOff>
      <xdr:row>92</xdr:row>
      <xdr:rowOff>0</xdr:rowOff>
    </xdr:from>
    <xdr:ext cx="9525" cy="9525"/>
    <xdr:pic>
      <xdr:nvPicPr>
        <xdr:cNvPr id="2" name="Picture 6" descr="../images/spacer.gif">
          <a:extLst>
            <a:ext uri="{FF2B5EF4-FFF2-40B4-BE49-F238E27FC236}">
              <a16:creationId xmlns:a16="http://schemas.microsoft.com/office/drawing/2014/main" id="{93764934-574D-4310-8933-98D4B0A1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36931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3" name="Picture 6" descr="../images/spacer.gif">
          <a:extLst>
            <a:ext uri="{FF2B5EF4-FFF2-40B4-BE49-F238E27FC236}">
              <a16:creationId xmlns:a16="http://schemas.microsoft.com/office/drawing/2014/main" id="{EAD5FA06-CADF-4D0E-98D4-D8D32D7ED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36931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662289</xdr:colOff>
      <xdr:row>2</xdr:row>
      <xdr:rowOff>9525</xdr:rowOff>
    </xdr:from>
    <xdr:ext cx="1723421" cy="506742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F50990A-1809-4560-AA17-9F07D9A490C8}"/>
            </a:ext>
          </a:extLst>
        </xdr:cNvPr>
        <xdr:cNvSpPr txBox="1">
          <a:spLocks noChangeArrowheads="1"/>
        </xdr:cNvSpPr>
      </xdr:nvSpPr>
      <xdr:spPr bwMode="auto">
        <a:xfrm>
          <a:off x="1911969" y="344805"/>
          <a:ext cx="1723421" cy="506742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North Texas Tollway Authority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icrosoft Sans Serif"/>
              <a:cs typeface="Microsoft Sans Serif"/>
            </a:rPr>
            <a:t>All Funds Budget by Account</a:t>
          </a:r>
          <a:endParaRPr lang="en-US" sz="1000" b="0" i="0" u="none" strike="noStrike" baseline="0">
            <a:solidFill>
              <a:srgbClr val="000000"/>
            </a:solidFill>
            <a:latin typeface="Calibri"/>
            <a:cs typeface="Microsoft Sans Serif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MS Sans Serif"/>
            </a:rPr>
            <a:t>FY2025</a:t>
          </a:r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9525" cy="9525"/>
    <xdr:pic>
      <xdr:nvPicPr>
        <xdr:cNvPr id="5" name="Picture 6" descr="../images/spacer.gif">
          <a:extLst>
            <a:ext uri="{FF2B5EF4-FFF2-40B4-BE49-F238E27FC236}">
              <a16:creationId xmlns:a16="http://schemas.microsoft.com/office/drawing/2014/main" id="{186FAE00-6329-4B09-8936-4EFBE9109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36931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9525" cy="9525"/>
    <xdr:pic>
      <xdr:nvPicPr>
        <xdr:cNvPr id="6" name="Picture 6" descr="../images/spacer.gif">
          <a:extLst>
            <a:ext uri="{FF2B5EF4-FFF2-40B4-BE49-F238E27FC236}">
              <a16:creationId xmlns:a16="http://schemas.microsoft.com/office/drawing/2014/main" id="{B09B25AD-EEFF-40D0-B328-50F70280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4493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9525" cy="9525"/>
    <xdr:pic>
      <xdr:nvPicPr>
        <xdr:cNvPr id="7" name="Picture 6" descr="../images/spacer.gif">
          <a:extLst>
            <a:ext uri="{FF2B5EF4-FFF2-40B4-BE49-F238E27FC236}">
              <a16:creationId xmlns:a16="http://schemas.microsoft.com/office/drawing/2014/main" id="{04E4076E-5AAF-4503-AB56-2509C5F5C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4493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Financial%20Planning%20and%20Analysis\Budget%20Department\20xx%20-%20Official%20Budget%20Files\2025%20Budget\Supporting%20Docs%20and%20Analysis\Overview%20Section%20Support\FINAL-Opr%20and%20Maint%20by%20Account%20and%20All%20Funds%20by%20Account%20V4.xlsx" TargetMode="External"/><Relationship Id="rId1" Type="http://schemas.openxmlformats.org/officeDocument/2006/relationships/externalLinkPath" Target="FINAL-Opr%20and%20Maint%20by%20Account%20and%20All%20Funds%20by%20Account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MF by Acct"/>
      <sheetName val="All Funds"/>
      <sheetName val="OMF By Acct. Backup"/>
      <sheetName val="Custom_AllFundsBudgetByAccount"/>
      <sheetName val="With TSA 2023"/>
      <sheetName val="Admin"/>
      <sheetName val="Board"/>
      <sheetName val="Accounting"/>
      <sheetName val="Procurement &amp; Bus Diversity"/>
      <sheetName val="Treasury"/>
      <sheetName val="Shared Svcs"/>
      <sheetName val="HR"/>
      <sheetName val="Internal Audit"/>
      <sheetName val="Legal"/>
      <sheetName val="Contact Center Coll"/>
      <sheetName val="IT"/>
      <sheetName val="Operations"/>
      <sheetName val="Maint"/>
      <sheetName val="PD"/>
      <sheetName val="Public Affairs"/>
      <sheetName val="TIM"/>
    </sheetNames>
    <sheetDataSet>
      <sheetData sheetId="0"/>
      <sheetData sheetId="1"/>
      <sheetData sheetId="2">
        <row r="1">
          <cell r="B1" t="str">
            <v/>
          </cell>
          <cell r="C1" t="str">
            <v>North Texas Tollway Authority
All Funds Budget by Account</v>
          </cell>
        </row>
        <row r="2">
          <cell r="B2" t="str">
            <v/>
          </cell>
          <cell r="C2" t="str">
            <v>Accounting</v>
          </cell>
          <cell r="D2" t="str">
            <v>Maintenance</v>
          </cell>
          <cell r="E2" t="str">
            <v>Administration</v>
          </cell>
          <cell r="F2" t="str">
            <v>Board</v>
          </cell>
          <cell r="G2" t="str">
            <v>Business Diversity</v>
          </cell>
          <cell r="H2" t="str">
            <v>Contact Center and Collections</v>
          </cell>
          <cell r="I2" t="str">
            <v>Public Affairs</v>
          </cell>
          <cell r="J2" t="str">
            <v>Human Resources</v>
          </cell>
          <cell r="K2" t="str">
            <v>Information Technology</v>
          </cell>
          <cell r="L2" t="str">
            <v>Traffic &amp; Incident Mgmt</v>
          </cell>
          <cell r="M2" t="str">
            <v>Internal Audit</v>
          </cell>
          <cell r="N2" t="str">
            <v>Legal Services</v>
          </cell>
          <cell r="O2" t="str">
            <v>Operations</v>
          </cell>
          <cell r="P2" t="str">
            <v>Procurement</v>
          </cell>
          <cell r="Q2" t="str">
            <v>Project Delivery</v>
          </cell>
          <cell r="R2" t="str">
            <v>Shared Services</v>
          </cell>
          <cell r="S2" t="str">
            <v>Treasury &amp; Financial Planning</v>
          </cell>
          <cell r="T2" t="str">
            <v>FY2025
Budget</v>
          </cell>
          <cell r="U2" t="str">
            <v>FY2024
Budget</v>
          </cell>
        </row>
        <row r="3">
          <cell r="B3" t="str">
            <v>Account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</row>
        <row r="4">
          <cell r="A4">
            <v>511101</v>
          </cell>
          <cell r="B4" t="str">
            <v>511101-Salaries and Wages-Direct</v>
          </cell>
          <cell r="C4">
            <v>1831978</v>
          </cell>
          <cell r="D4">
            <v>12282052.770000001</v>
          </cell>
          <cell r="E4">
            <v>527080.8112</v>
          </cell>
          <cell r="F4">
            <v>102819.0384</v>
          </cell>
          <cell r="G4">
            <v>547104.85919999995</v>
          </cell>
          <cell r="H4">
            <v>14587142.836799998</v>
          </cell>
          <cell r="I4">
            <v>2210274</v>
          </cell>
          <cell r="J4">
            <v>1465399.8311999999</v>
          </cell>
          <cell r="K4">
            <v>11442115.42</v>
          </cell>
          <cell r="L4">
            <v>8533287.2016000003</v>
          </cell>
          <cell r="M4">
            <v>1036710.0575999999</v>
          </cell>
          <cell r="N4">
            <v>1173309.5900000001</v>
          </cell>
          <cell r="O4">
            <v>2869383</v>
          </cell>
          <cell r="P4">
            <v>1102194</v>
          </cell>
          <cell r="Q4">
            <v>3185217</v>
          </cell>
          <cell r="R4">
            <v>-2998820</v>
          </cell>
          <cell r="S4">
            <v>1085635.1499999999</v>
          </cell>
          <cell r="T4">
            <v>60982883.566</v>
          </cell>
          <cell r="U4">
            <v>58426502.640399992</v>
          </cell>
        </row>
        <row r="5">
          <cell r="A5">
            <v>511202</v>
          </cell>
          <cell r="B5" t="str">
            <v>511202-Salaries and Wages-Internship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69164.88</v>
          </cell>
          <cell r="K5">
            <v>0</v>
          </cell>
          <cell r="L5">
            <v>0</v>
          </cell>
          <cell r="M5">
            <v>0</v>
          </cell>
          <cell r="N5">
            <v>158448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7396</v>
          </cell>
          <cell r="T5">
            <v>235008.88</v>
          </cell>
          <cell r="U5">
            <v>225264</v>
          </cell>
        </row>
        <row r="6">
          <cell r="A6">
            <v>511301</v>
          </cell>
          <cell r="B6" t="str">
            <v>511301-Salaries and Wage-Overtime</v>
          </cell>
          <cell r="C6">
            <v>0</v>
          </cell>
          <cell r="D6">
            <v>524305.84000000008</v>
          </cell>
          <cell r="E6">
            <v>0</v>
          </cell>
          <cell r="F6">
            <v>0</v>
          </cell>
          <cell r="G6">
            <v>0</v>
          </cell>
          <cell r="H6">
            <v>275466.18999999994</v>
          </cell>
          <cell r="I6">
            <v>35000</v>
          </cell>
          <cell r="J6">
            <v>2000</v>
          </cell>
          <cell r="K6">
            <v>88215</v>
          </cell>
          <cell r="L6">
            <v>23270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948257.03</v>
          </cell>
          <cell r="U6">
            <v>999999.48</v>
          </cell>
        </row>
        <row r="7">
          <cell r="A7">
            <v>512101</v>
          </cell>
          <cell r="B7" t="str">
            <v>512101-Group Insurance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8723123</v>
          </cell>
          <cell r="S7">
            <v>0</v>
          </cell>
          <cell r="T7">
            <v>8723123</v>
          </cell>
          <cell r="U7">
            <v>7223123.1200000001</v>
          </cell>
        </row>
        <row r="8">
          <cell r="A8">
            <v>512401</v>
          </cell>
          <cell r="B8" t="str">
            <v>512401-Retirement Contributions</v>
          </cell>
          <cell r="C8">
            <v>240817.57</v>
          </cell>
          <cell r="D8">
            <v>1714664.5599999996</v>
          </cell>
          <cell r="E8">
            <v>49131.204906999999</v>
          </cell>
          <cell r="F8">
            <v>14754.532010000001</v>
          </cell>
          <cell r="G8">
            <v>78509.547294999997</v>
          </cell>
          <cell r="H8">
            <v>2093254.9970820001</v>
          </cell>
          <cell r="I8">
            <v>317174</v>
          </cell>
          <cell r="J8">
            <v>221852.39355400001</v>
          </cell>
          <cell r="K8">
            <v>1476398.0800000001</v>
          </cell>
          <cell r="L8">
            <v>1223937.0795849999</v>
          </cell>
          <cell r="M8">
            <v>143454.579516</v>
          </cell>
          <cell r="N8">
            <v>172982.94</v>
          </cell>
          <cell r="O8">
            <v>364705.99647200003</v>
          </cell>
          <cell r="P8">
            <v>141231.9</v>
          </cell>
          <cell r="Q8">
            <v>426631.77</v>
          </cell>
          <cell r="R8">
            <v>0</v>
          </cell>
          <cell r="S8">
            <v>155788.64000000001</v>
          </cell>
          <cell r="T8">
            <v>8835289.7904210016</v>
          </cell>
          <cell r="U8">
            <v>8352298.2521570008</v>
          </cell>
        </row>
        <row r="9">
          <cell r="A9">
            <v>512402</v>
          </cell>
          <cell r="B9" t="str">
            <v>512402-Retirement Contr.-Internship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34081.35</v>
          </cell>
        </row>
        <row r="10">
          <cell r="A10">
            <v>512501</v>
          </cell>
          <cell r="B10" t="str">
            <v>512501-Tuition Reimbursement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33100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33100</v>
          </cell>
          <cell r="U10">
            <v>33100</v>
          </cell>
        </row>
        <row r="11">
          <cell r="A11">
            <v>512601</v>
          </cell>
          <cell r="B11" t="str">
            <v>512601-Unemployment Insurance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100000</v>
          </cell>
          <cell r="S11">
            <v>0</v>
          </cell>
          <cell r="T11">
            <v>100000</v>
          </cell>
          <cell r="U11">
            <v>100000</v>
          </cell>
        </row>
        <row r="12">
          <cell r="A12">
            <v>521101</v>
          </cell>
          <cell r="B12" t="str">
            <v>521101-Meeting Expense</v>
          </cell>
          <cell r="C12">
            <v>6100</v>
          </cell>
          <cell r="D12">
            <v>13900</v>
          </cell>
          <cell r="E12">
            <v>15000</v>
          </cell>
          <cell r="F12">
            <v>63918</v>
          </cell>
          <cell r="G12">
            <v>1350</v>
          </cell>
          <cell r="H12">
            <v>34880</v>
          </cell>
          <cell r="I12">
            <v>9785</v>
          </cell>
          <cell r="J12">
            <v>15700</v>
          </cell>
          <cell r="K12">
            <v>2000</v>
          </cell>
          <cell r="L12">
            <v>1000</v>
          </cell>
          <cell r="M12">
            <v>1000</v>
          </cell>
          <cell r="N12">
            <v>2300</v>
          </cell>
          <cell r="O12">
            <v>8000</v>
          </cell>
          <cell r="P12">
            <v>231</v>
          </cell>
          <cell r="Q12">
            <v>500</v>
          </cell>
          <cell r="R12">
            <v>0</v>
          </cell>
          <cell r="S12">
            <v>500</v>
          </cell>
          <cell r="T12">
            <v>176164</v>
          </cell>
          <cell r="U12">
            <v>155424</v>
          </cell>
        </row>
        <row r="13">
          <cell r="A13">
            <v>521201</v>
          </cell>
          <cell r="B13" t="str">
            <v>521201-Consulting/Professional</v>
          </cell>
          <cell r="C13">
            <v>0</v>
          </cell>
          <cell r="D13">
            <v>200000</v>
          </cell>
          <cell r="E13">
            <v>45000</v>
          </cell>
          <cell r="F13">
            <v>0</v>
          </cell>
          <cell r="G13">
            <v>0</v>
          </cell>
          <cell r="H13">
            <v>14147100</v>
          </cell>
          <cell r="I13">
            <v>2432664</v>
          </cell>
          <cell r="J13">
            <v>153000</v>
          </cell>
          <cell r="K13">
            <v>20000</v>
          </cell>
          <cell r="L13">
            <v>43342</v>
          </cell>
          <cell r="M13">
            <v>100000</v>
          </cell>
          <cell r="N13">
            <v>0</v>
          </cell>
          <cell r="O13">
            <v>150000</v>
          </cell>
          <cell r="P13">
            <v>0</v>
          </cell>
          <cell r="Q13">
            <v>0</v>
          </cell>
          <cell r="R13">
            <v>42000</v>
          </cell>
          <cell r="S13">
            <v>375000</v>
          </cell>
          <cell r="T13">
            <v>17708106</v>
          </cell>
          <cell r="U13">
            <v>19450521.32</v>
          </cell>
        </row>
        <row r="14">
          <cell r="A14">
            <v>521202</v>
          </cell>
          <cell r="B14" t="str">
            <v>521202-Legal Fees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1950000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1950000</v>
          </cell>
          <cell r="U14">
            <v>2000000</v>
          </cell>
        </row>
        <row r="15">
          <cell r="A15">
            <v>521203</v>
          </cell>
          <cell r="B15" t="str">
            <v>521203-Auditing Fees</v>
          </cell>
          <cell r="C15">
            <v>200000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200000</v>
          </cell>
          <cell r="U15">
            <v>200000</v>
          </cell>
        </row>
        <row r="16">
          <cell r="A16">
            <v>521207</v>
          </cell>
          <cell r="B16" t="str">
            <v>521207-Traffic Engineering Fees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650000</v>
          </cell>
          <cell r="T16">
            <v>650000</v>
          </cell>
          <cell r="U16">
            <v>600000</v>
          </cell>
        </row>
        <row r="17">
          <cell r="A17">
            <v>521208</v>
          </cell>
          <cell r="B17" t="str">
            <v>521208-Police Services (DPS)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16402810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16402810</v>
          </cell>
          <cell r="U17">
            <v>15540499</v>
          </cell>
        </row>
        <row r="18">
          <cell r="A18">
            <v>521209</v>
          </cell>
          <cell r="B18" t="str">
            <v>521209-Armored Car Services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50150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50150</v>
          </cell>
          <cell r="U18">
            <v>50142</v>
          </cell>
        </row>
        <row r="19">
          <cell r="A19">
            <v>521212</v>
          </cell>
          <cell r="B19" t="str">
            <v>521212-Outside Maintenance Services</v>
          </cell>
          <cell r="C19">
            <v>0</v>
          </cell>
          <cell r="D19">
            <v>34585984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11220700</v>
          </cell>
          <cell r="L19">
            <v>114500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45921184</v>
          </cell>
          <cell r="U19">
            <v>44430835</v>
          </cell>
        </row>
        <row r="20">
          <cell r="A20">
            <v>522202</v>
          </cell>
          <cell r="B20" t="str">
            <v>522202-Landscaping</v>
          </cell>
          <cell r="C20">
            <v>0</v>
          </cell>
          <cell r="D20">
            <v>69571.87999999999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69571.87999999999</v>
          </cell>
          <cell r="U20">
            <v>66425</v>
          </cell>
        </row>
        <row r="21">
          <cell r="A21">
            <v>522301</v>
          </cell>
          <cell r="B21" t="str">
            <v>522301-Rentals - Land</v>
          </cell>
          <cell r="C21">
            <v>0</v>
          </cell>
          <cell r="D21">
            <v>376000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376000</v>
          </cell>
          <cell r="U21">
            <v>357000</v>
          </cell>
        </row>
        <row r="22">
          <cell r="A22">
            <v>522302</v>
          </cell>
          <cell r="B22" t="str">
            <v>522302-Rentals - Equipment</v>
          </cell>
          <cell r="C22">
            <v>0</v>
          </cell>
          <cell r="D22">
            <v>55350</v>
          </cell>
          <cell r="E22">
            <v>0</v>
          </cell>
          <cell r="F22">
            <v>0</v>
          </cell>
          <cell r="G22">
            <v>0</v>
          </cell>
          <cell r="H22">
            <v>35200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90550</v>
          </cell>
          <cell r="U22">
            <v>70550</v>
          </cell>
        </row>
        <row r="23">
          <cell r="A23">
            <v>523101</v>
          </cell>
          <cell r="B23" t="str">
            <v>523101-Insurance Expense - Other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6637528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6637528</v>
          </cell>
          <cell r="U23">
            <v>7048478</v>
          </cell>
        </row>
        <row r="24">
          <cell r="A24">
            <v>523201</v>
          </cell>
          <cell r="B24" t="str">
            <v>523201-Postage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19100000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19100000</v>
          </cell>
          <cell r="U24">
            <v>18279249</v>
          </cell>
        </row>
        <row r="25">
          <cell r="A25">
            <v>523202</v>
          </cell>
          <cell r="B25" t="str">
            <v>523202-Telecommunications</v>
          </cell>
          <cell r="C25">
            <v>0</v>
          </cell>
          <cell r="D25">
            <v>285000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1500000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1785000</v>
          </cell>
          <cell r="U25">
            <v>2000000</v>
          </cell>
        </row>
        <row r="26">
          <cell r="A26">
            <v>523203</v>
          </cell>
          <cell r="B26" t="str">
            <v>523203-Public Information Fees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13369</v>
          </cell>
          <cell r="Q26">
            <v>0</v>
          </cell>
          <cell r="R26">
            <v>0</v>
          </cell>
          <cell r="S26">
            <v>0</v>
          </cell>
          <cell r="T26">
            <v>13369</v>
          </cell>
          <cell r="U26">
            <v>13369</v>
          </cell>
        </row>
        <row r="27">
          <cell r="A27">
            <v>523301</v>
          </cell>
          <cell r="B27" t="str">
            <v>523301-Recruitment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222000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222000</v>
          </cell>
          <cell r="U27">
            <v>120000</v>
          </cell>
        </row>
        <row r="28">
          <cell r="A28">
            <v>523302</v>
          </cell>
          <cell r="B28" t="str">
            <v>523302-Digital_Out of Home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1618782</v>
          </cell>
        </row>
        <row r="29">
          <cell r="A29">
            <v>523303</v>
          </cell>
          <cell r="B29" t="str">
            <v>523303-Television &amp; Radio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1250499</v>
          </cell>
        </row>
        <row r="30">
          <cell r="A30">
            <v>523304</v>
          </cell>
          <cell r="B30" t="str">
            <v>523304-Promotional Expenses  &amp; Events</v>
          </cell>
          <cell r="C30">
            <v>1000</v>
          </cell>
          <cell r="D30">
            <v>0</v>
          </cell>
          <cell r="E30">
            <v>0</v>
          </cell>
          <cell r="F30">
            <v>0</v>
          </cell>
          <cell r="G30">
            <v>124440</v>
          </cell>
          <cell r="H30">
            <v>100000</v>
          </cell>
          <cell r="I30">
            <v>1715841</v>
          </cell>
          <cell r="J30">
            <v>16000</v>
          </cell>
          <cell r="K30">
            <v>0</v>
          </cell>
          <cell r="L30">
            <v>5292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700</v>
          </cell>
          <cell r="T30">
            <v>1963273</v>
          </cell>
          <cell r="U30">
            <v>1600000.2</v>
          </cell>
        </row>
        <row r="31">
          <cell r="A31">
            <v>523305</v>
          </cell>
          <cell r="B31" t="str">
            <v>523305-Employee Appreciation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54678</v>
          </cell>
          <cell r="J31">
            <v>0</v>
          </cell>
          <cell r="K31">
            <v>0</v>
          </cell>
          <cell r="L31">
            <v>0</v>
          </cell>
          <cell r="M31">
            <v>800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55478</v>
          </cell>
          <cell r="U31">
            <v>54678</v>
          </cell>
        </row>
        <row r="32">
          <cell r="A32">
            <v>523306</v>
          </cell>
          <cell r="B32" t="str">
            <v>523306-Media Buy and Advertising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2169282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2169282</v>
          </cell>
          <cell r="U32">
            <v>0</v>
          </cell>
        </row>
        <row r="33">
          <cell r="A33">
            <v>523307</v>
          </cell>
          <cell r="B33" t="str">
            <v>523307-Media Production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700000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700000</v>
          </cell>
          <cell r="U33">
            <v>0</v>
          </cell>
        </row>
        <row r="34">
          <cell r="A34">
            <v>523401</v>
          </cell>
          <cell r="B34" t="str">
            <v>523401-Printing and Photographic</v>
          </cell>
          <cell r="C34">
            <v>2500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5931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3500</v>
          </cell>
          <cell r="T34">
            <v>11931</v>
          </cell>
          <cell r="U34">
            <v>25000</v>
          </cell>
        </row>
        <row r="35">
          <cell r="A35">
            <v>523402</v>
          </cell>
          <cell r="B35" t="str">
            <v>523402-Maps &amp; Pamphlets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25</v>
          </cell>
        </row>
        <row r="36">
          <cell r="A36">
            <v>523501</v>
          </cell>
          <cell r="B36" t="str">
            <v>523501-Travel</v>
          </cell>
          <cell r="C36">
            <v>7000</v>
          </cell>
          <cell r="D36">
            <v>143800</v>
          </cell>
          <cell r="E36">
            <v>20000</v>
          </cell>
          <cell r="F36">
            <v>9926</v>
          </cell>
          <cell r="G36">
            <v>4400</v>
          </cell>
          <cell r="H36">
            <v>20907</v>
          </cell>
          <cell r="I36">
            <v>52000</v>
          </cell>
          <cell r="J36">
            <v>11500</v>
          </cell>
          <cell r="K36">
            <v>62500</v>
          </cell>
          <cell r="L36">
            <v>18191</v>
          </cell>
          <cell r="M36">
            <v>6000</v>
          </cell>
          <cell r="N36">
            <v>12869</v>
          </cell>
          <cell r="O36">
            <v>55100</v>
          </cell>
          <cell r="P36">
            <v>15000</v>
          </cell>
          <cell r="Q36">
            <v>5000</v>
          </cell>
          <cell r="R36">
            <v>0</v>
          </cell>
          <cell r="S36">
            <v>3000</v>
          </cell>
          <cell r="T36">
            <v>447193</v>
          </cell>
          <cell r="U36">
            <v>352404</v>
          </cell>
        </row>
        <row r="37">
          <cell r="A37">
            <v>523601</v>
          </cell>
          <cell r="B37" t="str">
            <v>523601-Dues &amp; Subscriptions</v>
          </cell>
          <cell r="C37">
            <v>6000</v>
          </cell>
          <cell r="D37">
            <v>12850</v>
          </cell>
          <cell r="E37">
            <v>63000</v>
          </cell>
          <cell r="F37">
            <v>8500</v>
          </cell>
          <cell r="G37">
            <v>58500</v>
          </cell>
          <cell r="H37">
            <v>44150</v>
          </cell>
          <cell r="I37">
            <v>30000</v>
          </cell>
          <cell r="J37">
            <v>5700</v>
          </cell>
          <cell r="K37">
            <v>8650</v>
          </cell>
          <cell r="L37">
            <v>6661</v>
          </cell>
          <cell r="M37">
            <v>5100</v>
          </cell>
          <cell r="N37">
            <v>84325</v>
          </cell>
          <cell r="O37">
            <v>13000</v>
          </cell>
          <cell r="P37">
            <v>16647.25</v>
          </cell>
          <cell r="Q37">
            <v>1157</v>
          </cell>
          <cell r="R37">
            <v>1562</v>
          </cell>
          <cell r="S37">
            <v>375</v>
          </cell>
          <cell r="T37">
            <v>366177.25</v>
          </cell>
          <cell r="U37">
            <v>377860.64</v>
          </cell>
        </row>
        <row r="38">
          <cell r="A38">
            <v>523701</v>
          </cell>
          <cell r="B38" t="str">
            <v>523701-Education and Training</v>
          </cell>
          <cell r="C38">
            <v>5000</v>
          </cell>
          <cell r="D38">
            <v>104065</v>
          </cell>
          <cell r="E38">
            <v>2628</v>
          </cell>
          <cell r="F38">
            <v>0</v>
          </cell>
          <cell r="G38">
            <v>2844</v>
          </cell>
          <cell r="H38">
            <v>39900</v>
          </cell>
          <cell r="I38">
            <v>11454</v>
          </cell>
          <cell r="J38">
            <v>68500</v>
          </cell>
          <cell r="K38">
            <v>86000</v>
          </cell>
          <cell r="L38">
            <v>36708</v>
          </cell>
          <cell r="M38">
            <v>16000</v>
          </cell>
          <cell r="N38">
            <v>6846</v>
          </cell>
          <cell r="O38">
            <v>23500</v>
          </cell>
          <cell r="P38">
            <v>15000</v>
          </cell>
          <cell r="Q38">
            <v>10486</v>
          </cell>
          <cell r="R38">
            <v>0</v>
          </cell>
          <cell r="S38">
            <v>1800</v>
          </cell>
          <cell r="T38">
            <v>430731</v>
          </cell>
          <cell r="U38">
            <v>371644.52</v>
          </cell>
        </row>
        <row r="39">
          <cell r="A39">
            <v>523801</v>
          </cell>
          <cell r="B39" t="str">
            <v>523801-Licenses</v>
          </cell>
          <cell r="C39">
            <v>650</v>
          </cell>
          <cell r="D39">
            <v>17070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100</v>
          </cell>
          <cell r="L39">
            <v>0</v>
          </cell>
          <cell r="M39">
            <v>1055</v>
          </cell>
          <cell r="N39">
            <v>0</v>
          </cell>
          <cell r="O39">
            <v>300</v>
          </cell>
          <cell r="P39">
            <v>0</v>
          </cell>
          <cell r="Q39">
            <v>667</v>
          </cell>
          <cell r="R39">
            <v>0</v>
          </cell>
          <cell r="S39">
            <v>0</v>
          </cell>
          <cell r="T39">
            <v>19842</v>
          </cell>
          <cell r="U39">
            <v>25056</v>
          </cell>
        </row>
        <row r="40">
          <cell r="A40">
            <v>523851</v>
          </cell>
          <cell r="B40" t="str">
            <v>523851-Temporary Contract Labor</v>
          </cell>
          <cell r="C40">
            <v>0</v>
          </cell>
          <cell r="D40">
            <v>77000</v>
          </cell>
          <cell r="E40">
            <v>0</v>
          </cell>
          <cell r="F40">
            <v>0</v>
          </cell>
          <cell r="G40">
            <v>0</v>
          </cell>
          <cell r="H40">
            <v>15250000</v>
          </cell>
          <cell r="I40">
            <v>0</v>
          </cell>
          <cell r="J40">
            <v>50000</v>
          </cell>
          <cell r="K40">
            <v>40000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15417000</v>
          </cell>
          <cell r="U40">
            <v>14717000</v>
          </cell>
        </row>
        <row r="41">
          <cell r="A41">
            <v>523902</v>
          </cell>
          <cell r="B41" t="str">
            <v>523902-Liability Claims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9800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9800</v>
          </cell>
          <cell r="U41">
            <v>9800</v>
          </cell>
        </row>
        <row r="42">
          <cell r="A42">
            <v>531101</v>
          </cell>
          <cell r="B42" t="str">
            <v>531101-Office Supplies</v>
          </cell>
          <cell r="C42">
            <v>3500</v>
          </cell>
          <cell r="D42">
            <v>20000</v>
          </cell>
          <cell r="E42">
            <v>400</v>
          </cell>
          <cell r="F42">
            <v>2020</v>
          </cell>
          <cell r="G42">
            <v>1500</v>
          </cell>
          <cell r="H42">
            <v>98300</v>
          </cell>
          <cell r="I42">
            <v>5583</v>
          </cell>
          <cell r="J42">
            <v>5000</v>
          </cell>
          <cell r="K42">
            <v>20200</v>
          </cell>
          <cell r="L42">
            <v>9854</v>
          </cell>
          <cell r="M42">
            <v>850</v>
          </cell>
          <cell r="N42">
            <v>42129</v>
          </cell>
          <cell r="O42">
            <v>20000</v>
          </cell>
          <cell r="P42">
            <v>4184</v>
          </cell>
          <cell r="Q42">
            <v>2041</v>
          </cell>
          <cell r="R42">
            <v>246076</v>
          </cell>
          <cell r="S42">
            <v>500</v>
          </cell>
          <cell r="T42">
            <v>482137</v>
          </cell>
          <cell r="U42">
            <v>462983</v>
          </cell>
        </row>
        <row r="43">
          <cell r="A43">
            <v>531102</v>
          </cell>
          <cell r="B43" t="str">
            <v>531102-Other Materials and Supplies</v>
          </cell>
          <cell r="C43">
            <v>0</v>
          </cell>
          <cell r="D43">
            <v>7089825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948</v>
          </cell>
          <cell r="J43">
            <v>0</v>
          </cell>
          <cell r="K43">
            <v>74700</v>
          </cell>
          <cell r="L43">
            <v>151068.04999999999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7316541.0499999998</v>
          </cell>
          <cell r="U43">
            <v>6108487.4799999995</v>
          </cell>
        </row>
        <row r="44">
          <cell r="A44">
            <v>531103</v>
          </cell>
          <cell r="B44" t="str">
            <v>531103-Mobile Equipment Expense</v>
          </cell>
          <cell r="C44">
            <v>0</v>
          </cell>
          <cell r="D44">
            <v>2020000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2020000</v>
          </cell>
          <cell r="U44">
            <v>1479285</v>
          </cell>
        </row>
        <row r="45">
          <cell r="A45">
            <v>531105</v>
          </cell>
          <cell r="B45" t="str">
            <v>531105-Freight and Express</v>
          </cell>
          <cell r="C45">
            <v>420</v>
          </cell>
          <cell r="D45">
            <v>400</v>
          </cell>
          <cell r="E45">
            <v>60</v>
          </cell>
          <cell r="F45">
            <v>1257</v>
          </cell>
          <cell r="G45">
            <v>0</v>
          </cell>
          <cell r="H45">
            <v>375</v>
          </cell>
          <cell r="I45">
            <v>250</v>
          </cell>
          <cell r="J45">
            <v>483</v>
          </cell>
          <cell r="K45">
            <v>2000</v>
          </cell>
          <cell r="L45">
            <v>106</v>
          </cell>
          <cell r="M45">
            <v>0</v>
          </cell>
          <cell r="N45">
            <v>472</v>
          </cell>
          <cell r="O45">
            <v>215</v>
          </cell>
          <cell r="P45">
            <v>90</v>
          </cell>
          <cell r="Q45">
            <v>407</v>
          </cell>
          <cell r="R45">
            <v>0</v>
          </cell>
          <cell r="S45">
            <v>200</v>
          </cell>
          <cell r="T45">
            <v>6735</v>
          </cell>
          <cell r="U45">
            <v>7000</v>
          </cell>
        </row>
        <row r="46">
          <cell r="A46">
            <v>531107</v>
          </cell>
          <cell r="B46" t="str">
            <v>531107-Motor Fuel Expense</v>
          </cell>
          <cell r="C46">
            <v>0</v>
          </cell>
          <cell r="D46">
            <v>2250000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2250000</v>
          </cell>
          <cell r="U46">
            <v>2010000</v>
          </cell>
        </row>
        <row r="47">
          <cell r="A47">
            <v>531211</v>
          </cell>
          <cell r="B47" t="str">
            <v>531211-Water</v>
          </cell>
          <cell r="C47">
            <v>0</v>
          </cell>
          <cell r="D47">
            <v>1200000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1200000</v>
          </cell>
          <cell r="U47">
            <v>950000</v>
          </cell>
        </row>
        <row r="48">
          <cell r="A48">
            <v>531221</v>
          </cell>
          <cell r="B48" t="str">
            <v>531221-Gas</v>
          </cell>
          <cell r="C48">
            <v>0</v>
          </cell>
          <cell r="D48">
            <v>72000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72000</v>
          </cell>
          <cell r="U48">
            <v>61127</v>
          </cell>
        </row>
        <row r="49">
          <cell r="A49">
            <v>531231</v>
          </cell>
          <cell r="B49" t="str">
            <v>531231-Electricity</v>
          </cell>
          <cell r="C49">
            <v>0</v>
          </cell>
          <cell r="D49">
            <v>2900000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2900000</v>
          </cell>
          <cell r="U49">
            <v>2900000</v>
          </cell>
        </row>
        <row r="50">
          <cell r="A50">
            <v>531401</v>
          </cell>
          <cell r="B50" t="str">
            <v>531401-Books &amp; Periodicals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250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250</v>
          </cell>
          <cell r="U50">
            <v>250</v>
          </cell>
        </row>
        <row r="51">
          <cell r="A51">
            <v>531501</v>
          </cell>
          <cell r="B51" t="str">
            <v>531501-Inven for resale(toll tags)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1750000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1750000</v>
          </cell>
          <cell r="U51">
            <v>1500000</v>
          </cell>
        </row>
        <row r="52">
          <cell r="A52">
            <v>531601</v>
          </cell>
          <cell r="B52" t="str">
            <v>531601-Small Tools and Shop Supplies</v>
          </cell>
          <cell r="C52">
            <v>0</v>
          </cell>
          <cell r="D52">
            <v>287802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287802</v>
          </cell>
          <cell r="U52">
            <v>214922</v>
          </cell>
        </row>
        <row r="53">
          <cell r="A53">
            <v>531651</v>
          </cell>
          <cell r="B53" t="str">
            <v>531651-Software</v>
          </cell>
          <cell r="C53">
            <v>0</v>
          </cell>
          <cell r="D53">
            <v>54136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12884700</v>
          </cell>
          <cell r="L53">
            <v>0</v>
          </cell>
          <cell r="M53">
            <v>0</v>
          </cell>
          <cell r="N53">
            <v>49480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12988316</v>
          </cell>
          <cell r="U53">
            <v>11984813</v>
          </cell>
        </row>
        <row r="54">
          <cell r="A54">
            <v>531701</v>
          </cell>
          <cell r="B54" t="str">
            <v>531701-Uniforms</v>
          </cell>
          <cell r="C54">
            <v>0</v>
          </cell>
          <cell r="D54">
            <v>296000</v>
          </cell>
          <cell r="E54">
            <v>0</v>
          </cell>
          <cell r="F54">
            <v>0</v>
          </cell>
          <cell r="G54">
            <v>0</v>
          </cell>
          <cell r="H54">
            <v>43742</v>
          </cell>
          <cell r="I54">
            <v>0</v>
          </cell>
          <cell r="J54">
            <v>0</v>
          </cell>
          <cell r="K54">
            <v>0</v>
          </cell>
          <cell r="L54">
            <v>114716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454458</v>
          </cell>
          <cell r="U54">
            <v>382447</v>
          </cell>
        </row>
        <row r="55">
          <cell r="A55">
            <v>573001</v>
          </cell>
          <cell r="B55" t="str">
            <v>573001-Bank Charges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400000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15000</v>
          </cell>
          <cell r="T55">
            <v>415000</v>
          </cell>
          <cell r="U55">
            <v>415000</v>
          </cell>
        </row>
        <row r="56">
          <cell r="A56">
            <v>573002</v>
          </cell>
          <cell r="B56" t="str">
            <v>573002-Credit Card Fees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41500000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41500000</v>
          </cell>
          <cell r="U56">
            <v>38250000</v>
          </cell>
        </row>
        <row r="57">
          <cell r="B57" t="str">
            <v>Totals</v>
          </cell>
          <cell r="C57">
            <v>2304965</v>
          </cell>
          <cell r="D57">
            <v>66651777.050000004</v>
          </cell>
          <cell r="E57">
            <v>722300.01610699994</v>
          </cell>
          <cell r="F57">
            <v>203194.57040999999</v>
          </cell>
          <cell r="G57">
            <v>818648.406495</v>
          </cell>
          <cell r="H57">
            <v>109570568.023882</v>
          </cell>
          <cell r="I57">
            <v>9750864</v>
          </cell>
          <cell r="J57">
            <v>2339400.104754</v>
          </cell>
          <cell r="K57">
            <v>38928278.5</v>
          </cell>
          <cell r="L57">
            <v>33332071</v>
          </cell>
          <cell r="M57">
            <v>1311219.6371160001</v>
          </cell>
          <cell r="N57">
            <v>3653161.5300000003</v>
          </cell>
          <cell r="O57">
            <v>3504203.9964720001</v>
          </cell>
          <cell r="P57">
            <v>1307947.1499999999</v>
          </cell>
          <cell r="Q57">
            <v>3632106.77</v>
          </cell>
          <cell r="R57">
            <v>6782571</v>
          </cell>
          <cell r="S57">
            <v>2299394.79</v>
          </cell>
          <cell r="T57">
            <v>286444041.44642103</v>
          </cell>
          <cell r="U57">
            <v>272905925.00255692</v>
          </cell>
        </row>
        <row r="61">
          <cell r="C61">
            <v>287112671.54523593</v>
          </cell>
          <cell r="U6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32AB-1869-4D06-8542-66D14F96CD3E}">
  <dimension ref="A1:Y86"/>
  <sheetViews>
    <sheetView showGridLines="0" tabSelected="1" zoomScaleNormal="100" workbookViewId="0">
      <pane xSplit="2" ySplit="11" topLeftCell="C12" activePane="bottomRight" state="frozen"/>
      <selection activeCell="D64" sqref="D64"/>
      <selection pane="topRight" activeCell="D64" sqref="D64"/>
      <selection pane="bottomLeft" activeCell="D64" sqref="D64"/>
      <selection pane="bottomRight" activeCell="D64" sqref="D64"/>
    </sheetView>
  </sheetViews>
  <sheetFormatPr defaultColWidth="9.109375" defaultRowHeight="13.8" outlineLevelRow="1" x14ac:dyDescent="0.3"/>
  <cols>
    <col min="1" max="1" width="9.109375" style="1"/>
    <col min="2" max="2" width="36.109375" style="1" customWidth="1"/>
    <col min="3" max="23" width="15.6640625" style="1" customWidth="1"/>
    <col min="24" max="16384" width="9.109375" style="1"/>
  </cols>
  <sheetData>
    <row r="1" spans="1:25" x14ac:dyDescent="0.3">
      <c r="C1" s="1" t="s">
        <v>0</v>
      </c>
    </row>
    <row r="2" spans="1:25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4"/>
      <c r="Y2" s="4"/>
    </row>
    <row r="3" spans="1:25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3"/>
      <c r="X3" s="4"/>
      <c r="Y3" s="4"/>
    </row>
    <row r="4" spans="1:25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">
        <f>T12-U12</f>
        <v>3313780.9976000115</v>
      </c>
      <c r="V4" s="3"/>
      <c r="W4" s="3"/>
      <c r="X4" s="4"/>
      <c r="Y4" s="4"/>
    </row>
    <row r="5" spans="1:25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3"/>
      <c r="X5" s="4"/>
      <c r="Y5" s="4"/>
    </row>
    <row r="6" spans="1:25" x14ac:dyDescent="0.3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6"/>
      <c r="V6" s="3"/>
      <c r="W6" s="3"/>
      <c r="X6" s="4"/>
      <c r="Y6" s="4"/>
    </row>
    <row r="7" spans="1:25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3"/>
      <c r="W7" s="3"/>
      <c r="X7" s="4"/>
      <c r="Y7" s="4"/>
    </row>
    <row r="8" spans="1:25" ht="15" hidden="1" customHeight="1" x14ac:dyDescent="0.3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X8" s="4"/>
      <c r="Y8" s="4"/>
    </row>
    <row r="9" spans="1:25" hidden="1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X9" s="4"/>
      <c r="Y9" s="4"/>
    </row>
    <row r="10" spans="1:25" s="9" customFormat="1" ht="39.75" customHeight="1" x14ac:dyDescent="0.3">
      <c r="B10" s="10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  <c r="P10" s="11" t="s">
        <v>15</v>
      </c>
      <c r="Q10" s="11" t="s">
        <v>16</v>
      </c>
      <c r="R10" s="11" t="s">
        <v>17</v>
      </c>
      <c r="S10" s="11" t="s">
        <v>18</v>
      </c>
      <c r="T10" s="12" t="s">
        <v>19</v>
      </c>
      <c r="U10" s="12" t="s">
        <v>20</v>
      </c>
      <c r="V10" s="12" t="s">
        <v>21</v>
      </c>
      <c r="W10" s="13" t="s">
        <v>22</v>
      </c>
      <c r="X10" s="14"/>
      <c r="Y10" s="14"/>
    </row>
    <row r="11" spans="1:25" ht="3" customHeight="1" thickBot="1" x14ac:dyDescent="0.35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6"/>
      <c r="O11" s="16"/>
      <c r="P11" s="16"/>
      <c r="Q11" s="16"/>
      <c r="R11" s="16"/>
      <c r="S11" s="17"/>
      <c r="T11" s="17"/>
      <c r="U11" s="17"/>
      <c r="V11" s="17"/>
      <c r="W11" s="17"/>
      <c r="X11" s="4"/>
      <c r="Y11" s="4"/>
    </row>
    <row r="12" spans="1:25" ht="12" customHeight="1" outlineLevel="1" x14ac:dyDescent="0.3">
      <c r="A12" s="18">
        <v>511101</v>
      </c>
      <c r="B12" s="19" t="s">
        <v>23</v>
      </c>
      <c r="C12" s="20">
        <f>IFERROR(VLOOKUP(A12,'[1]OMF By Acct. Backup'!A:C,3,FALSE),0)</f>
        <v>1831978</v>
      </c>
      <c r="D12" s="20">
        <v>592281</v>
      </c>
      <c r="E12" s="20">
        <f>IFERROR(VLOOKUP(A12,'[1]OMF By Acct. Backup'!A:F,6,FALSE),0)</f>
        <v>102819.0384</v>
      </c>
      <c r="F12" s="20">
        <f>IFERROR(VLOOKUP(A12,'[1]OMF By Acct. Backup'!A:J,10,FALSE),0)</f>
        <v>1465399.8311999999</v>
      </c>
      <c r="G12" s="20">
        <f>IFERROR(VLOOKUP(A12,'[1]OMF By Acct. Backup'!A:M,13,FALSE),0)</f>
        <v>1036710.0575999999</v>
      </c>
      <c r="H12" s="20">
        <f>IFERROR(VLOOKUP(A12,'[1]OMF By Acct. Backup'!A:N,14,FALSE),0)</f>
        <v>1173309.5900000001</v>
      </c>
      <c r="I12" s="20">
        <f>IFERROR(VLOOKUP(A12,'[1]OMF By Acct. Backup'!A:P,16,FALSE),0)</f>
        <v>1102194</v>
      </c>
      <c r="J12" s="20">
        <f>IFERROR(VLOOKUP(A12,'[1]OMF By Acct. Backup'!A:G,7,FALSE),0)</f>
        <v>547104.85919999995</v>
      </c>
      <c r="K12" s="20">
        <f>IFERROR(VLOOKUP(A12,'[1]OMF By Acct. Backup'!A:I,9,FALSE),0)</f>
        <v>2210274</v>
      </c>
      <c r="L12" s="21">
        <v>-3077260.12</v>
      </c>
      <c r="M12" s="20">
        <f>IFERROR(VLOOKUP(A12,'[1]OMF By Acct. Backup'!A:S,19,FALSE),0)</f>
        <v>1085635.1499999999</v>
      </c>
      <c r="N12" s="20">
        <v>15357782.84</v>
      </c>
      <c r="O12" s="20">
        <f>IFERROR(VLOOKUP(A12,'[1]OMF By Acct. Backup'!A:K,11,FALSE),0)</f>
        <v>11442115.42</v>
      </c>
      <c r="P12" s="20">
        <f>IFERROR(VLOOKUP(A12,'[1]OMF By Acct. Backup'!A:D,4,FALSE),0)</f>
        <v>12282052.770000001</v>
      </c>
      <c r="Q12" s="20">
        <f>IFERROR(VLOOKUP(A12,'[1]OMF By Acct. Backup'!A:O,15,FALSE),0)</f>
        <v>2869383</v>
      </c>
      <c r="R12" s="20">
        <f>IFERROR(VLOOKUP(A12,'[1]OMF By Acct. Backup'!A:Q,17,FALSE),0)</f>
        <v>3185217</v>
      </c>
      <c r="S12" s="20">
        <f>IFERROR(VLOOKUP(A12,'[1]OMF By Acct. Backup'!A:L,12,FALSE),0)</f>
        <v>8533287.2016000003</v>
      </c>
      <c r="T12" s="22">
        <f>SUM(C12:S12)</f>
        <v>61740283.638000004</v>
      </c>
      <c r="U12" s="20">
        <f>IFERROR(VLOOKUP(A12,'[1]OMF By Acct. Backup'!A:U,21,FALSE),0)</f>
        <v>58426502.640399992</v>
      </c>
      <c r="V12" s="22">
        <f>T12-U12</f>
        <v>3313780.9976000115</v>
      </c>
      <c r="W12" s="23">
        <f>IFERROR(V12/U12,0)</f>
        <v>5.6717086387927003E-2</v>
      </c>
      <c r="X12" s="4"/>
      <c r="Y12" s="4"/>
    </row>
    <row r="13" spans="1:25" ht="12" customHeight="1" outlineLevel="1" x14ac:dyDescent="0.3">
      <c r="A13" s="18">
        <v>511202</v>
      </c>
      <c r="B13" s="19" t="s">
        <v>24</v>
      </c>
      <c r="C13" s="24">
        <f>IFERROR(VLOOKUP(A13,'[1]OMF By Acct. Backup'!A:C,3,FALSE),0)</f>
        <v>0</v>
      </c>
      <c r="D13" s="24">
        <f>IFERROR(VLOOKUP(A13,'[1]OMF By Acct. Backup'!A:E,5,FALSE),0)</f>
        <v>0</v>
      </c>
      <c r="E13" s="24">
        <f>IFERROR(VLOOKUP(A13,'[1]OMF By Acct. Backup'!A:F,6,FALSE),0)</f>
        <v>0</v>
      </c>
      <c r="F13" s="25">
        <v>90000</v>
      </c>
      <c r="G13" s="24">
        <f>IFERROR(VLOOKUP(A13,'[1]OMF By Acct. Backup'!A:M,13,FALSE),0)</f>
        <v>0</v>
      </c>
      <c r="H13" s="25">
        <f>IFERROR(VLOOKUP(A13,'[1]OMF By Acct. Backup'!A:N,14,FALSE),0)</f>
        <v>158448</v>
      </c>
      <c r="I13" s="24">
        <f>IFERROR(VLOOKUP(A13,'[1]OMF By Acct. Backup'!A:P,16,FALSE),0)</f>
        <v>0</v>
      </c>
      <c r="J13" s="24">
        <f>IFERROR(VLOOKUP(A13,'[1]OMF By Acct. Backup'!A:G,7,FALSE),0)</f>
        <v>0</v>
      </c>
      <c r="K13" s="24">
        <f>IFERROR(VLOOKUP(A13,'[1]OMF By Acct. Backup'!A:I,9,FALSE),0)</f>
        <v>0</v>
      </c>
      <c r="L13" s="24">
        <f>IFERROR(VLOOKUP(A13,'[1]OMF By Acct. Backup'!A:R,18,FALSE),0)</f>
        <v>0</v>
      </c>
      <c r="M13" s="25">
        <v>0</v>
      </c>
      <c r="N13" s="24">
        <f>IFERROR(VLOOKUP(A13,'[1]OMF By Acct. Backup'!A:H,8,FALSE),0)</f>
        <v>0</v>
      </c>
      <c r="O13" s="24">
        <f>IFERROR(VLOOKUP(A13,'[1]OMF By Acct. Backup'!A:K,11,FALSE),0)</f>
        <v>0</v>
      </c>
      <c r="P13" s="24">
        <f>IFERROR(VLOOKUP(A13,'[1]OMF By Acct. Backup'!A:D,4,FALSE),0)</f>
        <v>0</v>
      </c>
      <c r="Q13" s="24">
        <f>IFERROR(VLOOKUP(A13,'[1]OMF By Acct. Backup'!A:O,15,FALSE),0)</f>
        <v>0</v>
      </c>
      <c r="R13" s="24">
        <f>IFERROR(VLOOKUP(A13,'[1]OMF By Acct. Backup'!A:Q,17,FALSE),0)</f>
        <v>0</v>
      </c>
      <c r="S13" s="24">
        <f>IFERROR(VLOOKUP(A13,'[1]OMF By Acct. Backup'!A:L,12,FALSE),0)</f>
        <v>0</v>
      </c>
      <c r="T13" s="26">
        <f>SUM(C13:S13)</f>
        <v>248448</v>
      </c>
      <c r="U13" s="25">
        <f>IFERROR(VLOOKUP(A13,'[1]OMF By Acct. Backup'!A:U,21,FALSE),0)</f>
        <v>225264</v>
      </c>
      <c r="V13" s="27">
        <f t="shared" ref="V13:V43" si="0">T13-U13</f>
        <v>23184</v>
      </c>
      <c r="W13" s="23">
        <f t="shared" ref="W13:W73" si="1">IFERROR(V13/U13,0)</f>
        <v>0.10291924142339655</v>
      </c>
      <c r="X13" s="4"/>
      <c r="Y13" s="4"/>
    </row>
    <row r="14" spans="1:25" ht="12" customHeight="1" outlineLevel="1" x14ac:dyDescent="0.3">
      <c r="A14" s="18">
        <v>511301</v>
      </c>
      <c r="B14" s="19" t="s">
        <v>25</v>
      </c>
      <c r="C14" s="24">
        <f>IFERROR(VLOOKUP(A14,'[1]OMF By Acct. Backup'!A:C,3,FALSE),0)</f>
        <v>0</v>
      </c>
      <c r="D14" s="24">
        <f>IFERROR(VLOOKUP(A14,'[1]OMF By Acct. Backup'!A:E,5,FALSE),0)</f>
        <v>0</v>
      </c>
      <c r="E14" s="24">
        <f>IFERROR(VLOOKUP(A14,'[1]OMF By Acct. Backup'!A:F,6,FALSE),0)</f>
        <v>0</v>
      </c>
      <c r="F14" s="25">
        <v>4000</v>
      </c>
      <c r="G14" s="24">
        <f>IFERROR(VLOOKUP(A14,'[1]OMF By Acct. Backup'!A:M,13,FALSE),0)</f>
        <v>0</v>
      </c>
      <c r="H14" s="24">
        <f>IFERROR(VLOOKUP(A14,'[1]OMF By Acct. Backup'!A:N,14,FALSE),0)</f>
        <v>0</v>
      </c>
      <c r="I14" s="24">
        <f>IFERROR(VLOOKUP(A14,'[1]OMF By Acct. Backup'!A:P,16,FALSE),0)</f>
        <v>0</v>
      </c>
      <c r="J14" s="24">
        <f>IFERROR(VLOOKUP(A14,'[1]OMF By Acct. Backup'!A:G,7,FALSE),0)</f>
        <v>0</v>
      </c>
      <c r="K14" s="25">
        <f>IFERROR(VLOOKUP(A14,'[1]OMF By Acct. Backup'!A:I,9,FALSE),0)</f>
        <v>35000</v>
      </c>
      <c r="L14" s="24">
        <f>IFERROR(VLOOKUP(A14,'[1]OMF By Acct. Backup'!A:R,18,FALSE),0)</f>
        <v>0</v>
      </c>
      <c r="M14" s="24">
        <f>IFERROR(VLOOKUP(A14,'[1]OMF By Acct. Backup'!A:S,19,FALSE),0)</f>
        <v>0</v>
      </c>
      <c r="N14" s="28">
        <f>IFERROR(VLOOKUP(A14,'[1]OMF By Acct. Backup'!A:H,8,FALSE),0)</f>
        <v>275466.18999999994</v>
      </c>
      <c r="O14" s="25">
        <f>IFERROR(VLOOKUP(A14,'[1]OMF By Acct. Backup'!A:K,11,FALSE),0)</f>
        <v>88215</v>
      </c>
      <c r="P14" s="25">
        <f>IFERROR(VLOOKUP(A14,'[1]OMF By Acct. Backup'!A:D,4,FALSE),0)</f>
        <v>524305.84000000008</v>
      </c>
      <c r="Q14" s="24">
        <f>IFERROR(VLOOKUP(A14,'[1]OMF By Acct. Backup'!A:O,15,FALSE),0)</f>
        <v>0</v>
      </c>
      <c r="R14" s="24">
        <f>IFERROR(VLOOKUP(A14,'[1]OMF By Acct. Backup'!A:Q,17,FALSE),0)</f>
        <v>0</v>
      </c>
      <c r="S14" s="29">
        <f>IFERROR(VLOOKUP(A14,'[1]OMF By Acct. Backup'!A:L,12,FALSE),0)</f>
        <v>23270</v>
      </c>
      <c r="T14" s="26">
        <f t="shared" ref="T14:T21" si="2">SUM(C14:S14)</f>
        <v>950257.03</v>
      </c>
      <c r="U14" s="25">
        <f>IFERROR(VLOOKUP(A14,'[1]OMF By Acct. Backup'!A:U,21,FALSE),0)</f>
        <v>999999.48</v>
      </c>
      <c r="V14" s="27">
        <f t="shared" si="0"/>
        <v>-49742.449999999953</v>
      </c>
      <c r="W14" s="23">
        <f t="shared" si="1"/>
        <v>-4.9742475866087404E-2</v>
      </c>
      <c r="X14" s="4"/>
      <c r="Y14" s="4"/>
    </row>
    <row r="15" spans="1:25" ht="12" customHeight="1" outlineLevel="1" x14ac:dyDescent="0.3">
      <c r="A15" s="18">
        <v>512101</v>
      </c>
      <c r="B15" s="19" t="s">
        <v>26</v>
      </c>
      <c r="C15" s="24">
        <f>IFERROR(VLOOKUP(A15,'[1]OMF By Acct. Backup'!A:C,3,FALSE),0)</f>
        <v>0</v>
      </c>
      <c r="D15" s="24">
        <f>IFERROR(VLOOKUP(A15,'[1]OMF By Acct. Backup'!A:E,5,FALSE),0)</f>
        <v>0</v>
      </c>
      <c r="E15" s="24">
        <f>IFERROR(VLOOKUP(A15,'[1]OMF By Acct. Backup'!A:F,6,FALSE),0)</f>
        <v>0</v>
      </c>
      <c r="F15" s="24">
        <f>IFERROR(VLOOKUP(A15,'[1]OMF By Acct. Backup'!A:J,10,FALSE),0)</f>
        <v>0</v>
      </c>
      <c r="G15" s="24">
        <f>IFERROR(VLOOKUP(A15,'[1]OMF By Acct. Backup'!A:M,13,FALSE),0)</f>
        <v>0</v>
      </c>
      <c r="H15" s="24">
        <f>IFERROR(VLOOKUP(A15,'[1]OMF By Acct. Backup'!A:N,14,FALSE),0)</f>
        <v>0</v>
      </c>
      <c r="I15" s="24">
        <f>IFERROR(VLOOKUP(A15,'[1]OMF By Acct. Backup'!A:P,16,FALSE),0)</f>
        <v>0</v>
      </c>
      <c r="J15" s="24">
        <f>IFERROR(VLOOKUP(A15,'[1]OMF By Acct. Backup'!A:G,7,FALSE),0)</f>
        <v>0</v>
      </c>
      <c r="K15" s="24">
        <f>IFERROR(VLOOKUP(A15,'[1]OMF By Acct. Backup'!A:I,9,FALSE),0)</f>
        <v>0</v>
      </c>
      <c r="L15" s="25">
        <v>7618675</v>
      </c>
      <c r="M15" s="24">
        <f>IFERROR(VLOOKUP(A15,'[1]OMF By Acct. Backup'!A:S,19,FALSE),0)</f>
        <v>0</v>
      </c>
      <c r="N15" s="24">
        <f>IFERROR(VLOOKUP(A15,'[1]OMF By Acct. Backup'!A:H,8,FALSE),0)</f>
        <v>0</v>
      </c>
      <c r="O15" s="24">
        <f>IFERROR(VLOOKUP(A15,'[1]OMF By Acct. Backup'!A:K,11,FALSE),0)</f>
        <v>0</v>
      </c>
      <c r="P15" s="24">
        <f>IFERROR(VLOOKUP(A15,'[1]OMF By Acct. Backup'!A:D,4,FALSE),0)</f>
        <v>0</v>
      </c>
      <c r="Q15" s="24">
        <f>IFERROR(VLOOKUP(A15,'[1]OMF By Acct. Backup'!A:O,15,FALSE),0)</f>
        <v>0</v>
      </c>
      <c r="R15" s="24">
        <f>IFERROR(VLOOKUP(A15,'[1]OMF By Acct. Backup'!A:Q,17,FALSE),0)</f>
        <v>0</v>
      </c>
      <c r="S15" s="24">
        <f>IFERROR(VLOOKUP(A15,'[1]OMF By Acct. Backup'!A:L,12,FALSE),0)</f>
        <v>0</v>
      </c>
      <c r="T15" s="30">
        <f t="shared" si="2"/>
        <v>7618675</v>
      </c>
      <c r="U15" s="25">
        <f>IFERROR(VLOOKUP(A15,'[1]OMF By Acct. Backup'!A:U,21,FALSE),0)</f>
        <v>7223123.1200000001</v>
      </c>
      <c r="V15" s="27">
        <f t="shared" si="0"/>
        <v>395551.87999999989</v>
      </c>
      <c r="W15" s="23">
        <f t="shared" si="1"/>
        <v>5.4761890864737178E-2</v>
      </c>
      <c r="X15" s="4"/>
      <c r="Y15" s="4"/>
    </row>
    <row r="16" spans="1:25" ht="12" customHeight="1" outlineLevel="1" x14ac:dyDescent="0.3">
      <c r="A16" s="18">
        <v>512401</v>
      </c>
      <c r="B16" s="19" t="s">
        <v>27</v>
      </c>
      <c r="C16" s="25">
        <f>IFERROR(VLOOKUP(A16,'[1]OMF By Acct. Backup'!A:C,3,FALSE),0)</f>
        <v>240817.57</v>
      </c>
      <c r="D16" s="25">
        <v>67740</v>
      </c>
      <c r="E16" s="25">
        <f>IFERROR(VLOOKUP(A16,'[1]OMF By Acct. Backup'!A:F,6,FALSE),0)</f>
        <v>14754.532010000001</v>
      </c>
      <c r="F16" s="25">
        <v>190608</v>
      </c>
      <c r="G16" s="25">
        <v>148768</v>
      </c>
      <c r="H16" s="29">
        <v>155686</v>
      </c>
      <c r="I16" s="25">
        <v>151232</v>
      </c>
      <c r="J16" s="25">
        <f>IFERROR(VLOOKUP(A16,'[1]OMF By Acct. Backup'!A:G,7,FALSE),0)</f>
        <v>78509.547294999997</v>
      </c>
      <c r="K16" s="25">
        <v>283816</v>
      </c>
      <c r="L16" s="24">
        <f>IFERROR(VLOOKUP(A16,'[1]OMF By Acct. Backup'!A:R,18,FALSE),0)</f>
        <v>0</v>
      </c>
      <c r="M16" s="25">
        <f>IFERROR(VLOOKUP(A16,'[1]OMF By Acct. Backup'!A:S,19,FALSE),0)</f>
        <v>155788.64000000001</v>
      </c>
      <c r="N16" s="25">
        <f>IFERROR(VLOOKUP(A16,'[1]OMF By Acct. Backup'!A:H,8,FALSE),0)</f>
        <v>2093254.9970820001</v>
      </c>
      <c r="O16" s="25">
        <v>1599831</v>
      </c>
      <c r="P16" s="25">
        <f>IFERROR(VLOOKUP(A16,'[1]OMF By Acct. Backup'!A:D,4,FALSE),0)</f>
        <v>1714664.5599999996</v>
      </c>
      <c r="Q16" s="29">
        <v>385206</v>
      </c>
      <c r="R16" s="25">
        <v>441834</v>
      </c>
      <c r="S16" s="25">
        <v>1129092</v>
      </c>
      <c r="T16" s="30">
        <f t="shared" si="2"/>
        <v>8851602.8463869989</v>
      </c>
      <c r="U16" s="25">
        <f>IFERROR(VLOOKUP(A16,'[1]OMF By Acct. Backup'!A:U,21,FALSE),0)</f>
        <v>8352298.2521570008</v>
      </c>
      <c r="V16" s="27">
        <f t="shared" si="0"/>
        <v>499304.59422999807</v>
      </c>
      <c r="W16" s="23">
        <f t="shared" si="1"/>
        <v>5.9780503420247412E-2</v>
      </c>
      <c r="X16" s="4"/>
      <c r="Y16" s="4"/>
    </row>
    <row r="17" spans="1:25" outlineLevel="1" x14ac:dyDescent="0.3">
      <c r="A17" s="18">
        <v>512402</v>
      </c>
      <c r="B17" s="19" t="s">
        <v>28</v>
      </c>
      <c r="C17" s="24">
        <f>IFERROR(VLOOKUP(A17,'[1]OMF By Acct. Backup'!A:C,3,FALSE),0)</f>
        <v>0</v>
      </c>
      <c r="D17" s="24">
        <f>IFERROR(VLOOKUP(A17,'[1]OMF By Acct. Backup'!A:E,5,FALSE),0)</f>
        <v>0</v>
      </c>
      <c r="E17" s="24">
        <f>IFERROR(VLOOKUP(A17,'[1]OMF By Acct. Backup'!A:F,6,FALSE),0)</f>
        <v>0</v>
      </c>
      <c r="F17" s="25">
        <v>1305</v>
      </c>
      <c r="G17" s="24">
        <f>IFERROR(VLOOKUP(A17,'[1]OMF By Acct. Backup'!A:M,13,FALSE),0)</f>
        <v>0</v>
      </c>
      <c r="H17" s="25">
        <v>2298</v>
      </c>
      <c r="I17" s="24">
        <f>IFERROR(VLOOKUP(A17,'[1]OMF By Acct. Backup'!A:P,16,FALSE),0)</f>
        <v>0</v>
      </c>
      <c r="J17" s="24">
        <f>IFERROR(VLOOKUP(A17,'[1]OMF By Acct. Backup'!A:G,7,FALSE),0)</f>
        <v>0</v>
      </c>
      <c r="K17" s="24">
        <f>IFERROR(VLOOKUP(A17,'[1]OMF By Acct. Backup'!A:I,9,FALSE),0)</f>
        <v>0</v>
      </c>
      <c r="L17" s="24">
        <f>IFERROR(VLOOKUP(A17,'[1]OMF By Acct. Backup'!A:R,18,FALSE),0)</f>
        <v>0</v>
      </c>
      <c r="M17" s="24">
        <f>IFERROR(VLOOKUP(A17,'[1]OMF By Acct. Backup'!A:S,19,FALSE),0)</f>
        <v>0</v>
      </c>
      <c r="N17" s="24">
        <f>IFERROR(VLOOKUP(A17,'[1]OMF By Acct. Backup'!A:H,8,FALSE),0)</f>
        <v>0</v>
      </c>
      <c r="O17" s="24">
        <f>IFERROR(VLOOKUP(A17,'[1]OMF By Acct. Backup'!A:K,11,FALSE),0)</f>
        <v>0</v>
      </c>
      <c r="P17" s="24">
        <f>IFERROR(VLOOKUP(A17,'[1]OMF By Acct. Backup'!A:D,4,FALSE),0)</f>
        <v>0</v>
      </c>
      <c r="Q17" s="24">
        <f>IFERROR(VLOOKUP(A17,'[1]OMF By Acct. Backup'!A:O,15,FALSE),0)</f>
        <v>0</v>
      </c>
      <c r="R17" s="24">
        <f>IFERROR(VLOOKUP(A17,'[1]OMF By Acct. Backup'!A:Q,17,FALSE),0)</f>
        <v>0</v>
      </c>
      <c r="S17" s="24">
        <f>IFERROR(VLOOKUP(A17,'[1]OMF By Acct. Backup'!A:L,12,FALSE),0)</f>
        <v>0</v>
      </c>
      <c r="T17" s="31">
        <f t="shared" si="2"/>
        <v>3603</v>
      </c>
      <c r="U17" s="25">
        <f>IFERROR(VLOOKUP(A17,'[1]OMF By Acct. Backup'!A:U,21,FALSE),0)</f>
        <v>34081.35</v>
      </c>
      <c r="V17" s="27">
        <f t="shared" si="0"/>
        <v>-30478.35</v>
      </c>
      <c r="W17" s="23" t="s">
        <v>29</v>
      </c>
      <c r="X17" s="4"/>
      <c r="Y17" s="4"/>
    </row>
    <row r="18" spans="1:25" ht="12" customHeight="1" outlineLevel="1" x14ac:dyDescent="0.3">
      <c r="A18" s="18">
        <v>512501</v>
      </c>
      <c r="B18" s="19" t="s">
        <v>30</v>
      </c>
      <c r="C18" s="24">
        <f>IFERROR(VLOOKUP(A18,'[1]OMF By Acct. Backup'!A:C,3,FALSE),0)</f>
        <v>0</v>
      </c>
      <c r="D18" s="24">
        <f>IFERROR(VLOOKUP(A18,'[1]OMF By Acct. Backup'!A:E,5,FALSE),0)</f>
        <v>0</v>
      </c>
      <c r="E18" s="24">
        <f>IFERROR(VLOOKUP(A18,'[1]OMF By Acct. Backup'!A:F,6,FALSE),0)</f>
        <v>0</v>
      </c>
      <c r="F18" s="25">
        <f>IFERROR(VLOOKUP(A18,'[1]OMF By Acct. Backup'!A:J,10,FALSE),0)</f>
        <v>33100</v>
      </c>
      <c r="G18" s="24">
        <f>IFERROR(VLOOKUP(A18,'[1]OMF By Acct. Backup'!A:M,13,FALSE),0)</f>
        <v>0</v>
      </c>
      <c r="H18" s="24">
        <f>IFERROR(VLOOKUP(A18,'[1]OMF By Acct. Backup'!A:N,14,FALSE),0)</f>
        <v>0</v>
      </c>
      <c r="I18" s="24">
        <f>IFERROR(VLOOKUP(A18,'[1]OMF By Acct. Backup'!A:P,16,FALSE),0)</f>
        <v>0</v>
      </c>
      <c r="J18" s="24">
        <f>IFERROR(VLOOKUP(A18,'[1]OMF By Acct. Backup'!A:G,7,FALSE),0)</f>
        <v>0</v>
      </c>
      <c r="K18" s="24">
        <f>IFERROR(VLOOKUP(A18,'[1]OMF By Acct. Backup'!A:I,9,FALSE),0)</f>
        <v>0</v>
      </c>
      <c r="L18" s="24">
        <f>IFERROR(VLOOKUP(A18,'[1]OMF By Acct. Backup'!A:R,18,FALSE),0)</f>
        <v>0</v>
      </c>
      <c r="M18" s="24">
        <f>IFERROR(VLOOKUP(A18,'[1]OMF By Acct. Backup'!A:S,19,FALSE),0)</f>
        <v>0</v>
      </c>
      <c r="N18" s="24">
        <f>IFERROR(VLOOKUP(A18,'[1]OMF By Acct. Backup'!A:H,8,FALSE),0)</f>
        <v>0</v>
      </c>
      <c r="O18" s="24">
        <f>IFERROR(VLOOKUP(A18,'[1]OMF By Acct. Backup'!A:K,11,FALSE),0)</f>
        <v>0</v>
      </c>
      <c r="P18" s="24">
        <f>IFERROR(VLOOKUP(A18,'[1]OMF By Acct. Backup'!A:D,4,FALSE),0)</f>
        <v>0</v>
      </c>
      <c r="Q18" s="24">
        <f>IFERROR(VLOOKUP(A18,'[1]OMF By Acct. Backup'!A:O,15,FALSE),0)</f>
        <v>0</v>
      </c>
      <c r="R18" s="24">
        <f>IFERROR(VLOOKUP(A18,'[1]OMF By Acct. Backup'!A:Q,17,FALSE),0)</f>
        <v>0</v>
      </c>
      <c r="S18" s="24">
        <f>IFERROR(VLOOKUP(A18,'[1]OMF By Acct. Backup'!A:L,12,FALSE),0)</f>
        <v>0</v>
      </c>
      <c r="T18" s="26">
        <f t="shared" si="2"/>
        <v>33100</v>
      </c>
      <c r="U18" s="25">
        <f>IFERROR(VLOOKUP(A18,'[1]OMF By Acct. Backup'!A:U,21,FALSE),0)</f>
        <v>33100</v>
      </c>
      <c r="V18" s="31">
        <f t="shared" si="0"/>
        <v>0</v>
      </c>
      <c r="W18" s="23" t="s">
        <v>29</v>
      </c>
      <c r="X18" s="4"/>
      <c r="Y18" s="4"/>
    </row>
    <row r="19" spans="1:25" outlineLevel="1" x14ac:dyDescent="0.3">
      <c r="A19" s="18">
        <v>512601</v>
      </c>
      <c r="B19" s="19" t="s">
        <v>31</v>
      </c>
      <c r="C19" s="24">
        <f>IFERROR(VLOOKUP(A19,'[1]OMF By Acct. Backup'!A:C,3,FALSE),0)</f>
        <v>0</v>
      </c>
      <c r="D19" s="24">
        <f>IFERROR(VLOOKUP(A19,'[1]OMF By Acct. Backup'!A:E,5,FALSE),0)</f>
        <v>0</v>
      </c>
      <c r="E19" s="24">
        <f>IFERROR(VLOOKUP(A19,'[1]OMF By Acct. Backup'!A:F,6,FALSE),0)</f>
        <v>0</v>
      </c>
      <c r="F19" s="24">
        <f>IFERROR(VLOOKUP(A19,'[1]OMF By Acct. Backup'!A:J,10,FALSE),0)</f>
        <v>0</v>
      </c>
      <c r="G19" s="24">
        <f>IFERROR(VLOOKUP(A19,'[1]OMF By Acct. Backup'!A:M,13,FALSE),0)</f>
        <v>0</v>
      </c>
      <c r="H19" s="24">
        <f>IFERROR(VLOOKUP(A19,'[1]OMF By Acct. Backup'!A:N,14,FALSE),0)</f>
        <v>0</v>
      </c>
      <c r="I19" s="24">
        <f>IFERROR(VLOOKUP(A19,'[1]OMF By Acct. Backup'!A:P,16,FALSE),0)</f>
        <v>0</v>
      </c>
      <c r="J19" s="24">
        <f>IFERROR(VLOOKUP(A19,'[1]OMF By Acct. Backup'!A:G,7,FALSE),0)</f>
        <v>0</v>
      </c>
      <c r="K19" s="24">
        <f>IFERROR(VLOOKUP(A19,'[1]OMF By Acct. Backup'!A:I,9,FALSE),0)</f>
        <v>0</v>
      </c>
      <c r="L19" s="25">
        <f>IFERROR(VLOOKUP(A19,'[1]OMF By Acct. Backup'!A:R,18,FALSE),0)</f>
        <v>100000</v>
      </c>
      <c r="M19" s="24">
        <f>IFERROR(VLOOKUP(A19,'[1]OMF By Acct. Backup'!A:S,19,FALSE),0)</f>
        <v>0</v>
      </c>
      <c r="N19" s="24">
        <f>IFERROR(VLOOKUP(A19,'[1]OMF By Acct. Backup'!A:H,8,FALSE),0)</f>
        <v>0</v>
      </c>
      <c r="O19" s="24">
        <f>IFERROR(VLOOKUP(A19,'[1]OMF By Acct. Backup'!A:K,11,FALSE),0)</f>
        <v>0</v>
      </c>
      <c r="P19" s="24">
        <f>IFERROR(VLOOKUP(A19,'[1]OMF By Acct. Backup'!A:D,4,FALSE),0)</f>
        <v>0</v>
      </c>
      <c r="Q19" s="24">
        <f>IFERROR(VLOOKUP(A19,'[1]OMF By Acct. Backup'!A:O,15,FALSE),0)</f>
        <v>0</v>
      </c>
      <c r="R19" s="24">
        <f>IFERROR(VLOOKUP(A19,'[1]OMF By Acct. Backup'!A:Q,17,FALSE),0)</f>
        <v>0</v>
      </c>
      <c r="S19" s="24">
        <f>IFERROR(VLOOKUP(A19,'[1]OMF By Acct. Backup'!A:L,12,FALSE),0)</f>
        <v>0</v>
      </c>
      <c r="T19" s="26">
        <f t="shared" si="2"/>
        <v>100000</v>
      </c>
      <c r="U19" s="25">
        <f>IFERROR(VLOOKUP(A19,'[1]OMF By Acct. Backup'!A:U,21,FALSE),0)</f>
        <v>100000</v>
      </c>
      <c r="V19" s="31">
        <f t="shared" si="0"/>
        <v>0</v>
      </c>
      <c r="W19" s="23" t="s">
        <v>29</v>
      </c>
      <c r="X19" s="4"/>
      <c r="Y19" s="4"/>
    </row>
    <row r="20" spans="1:25" ht="12" customHeight="1" outlineLevel="1" x14ac:dyDescent="0.3">
      <c r="A20" s="18">
        <v>512602</v>
      </c>
      <c r="B20" s="19" t="s">
        <v>32</v>
      </c>
      <c r="C20" s="24">
        <f>IFERROR(VLOOKUP(A20,'[1]OMF By Acct. Backup'!A:C,3,FALSE),0)</f>
        <v>0</v>
      </c>
      <c r="D20" s="24">
        <f>IFERROR(VLOOKUP(A20,'[1]OMF By Acct. Backup'!A:E,5,FALSE),0)</f>
        <v>0</v>
      </c>
      <c r="E20" s="24">
        <f>IFERROR(VLOOKUP(A20,'[1]OMF By Acct. Backup'!A:F,6,FALSE),0)</f>
        <v>0</v>
      </c>
      <c r="F20" s="24">
        <f>IFERROR(VLOOKUP(A20,'[1]OMF By Acct. Backup'!A:J,10,FALSE),0)</f>
        <v>0</v>
      </c>
      <c r="G20" s="24">
        <f>IFERROR(VLOOKUP(A20,'[1]OMF By Acct. Backup'!A:M,13,FALSE),0)</f>
        <v>0</v>
      </c>
      <c r="H20" s="24">
        <f>IFERROR(VLOOKUP(A20,'[1]OMF By Acct. Backup'!A:N,14,FALSE),0)</f>
        <v>0</v>
      </c>
      <c r="I20" s="24">
        <f>IFERROR(VLOOKUP(A20,'[1]OMF By Acct. Backup'!A:P,16,FALSE),0)</f>
        <v>0</v>
      </c>
      <c r="J20" s="24">
        <f>IFERROR(VLOOKUP(A20,'[1]OMF By Acct. Backup'!A:G,7,FALSE),0)</f>
        <v>0</v>
      </c>
      <c r="K20" s="24">
        <f>IFERROR(VLOOKUP(A20,'[1]OMF By Acct. Backup'!A:I,9,FALSE),0)</f>
        <v>0</v>
      </c>
      <c r="L20" s="24">
        <f>IFERROR(VLOOKUP(A20,'[1]OMF By Acct. Backup'!A:R,18,FALSE),0)</f>
        <v>0</v>
      </c>
      <c r="M20" s="24">
        <f>IFERROR(VLOOKUP(A20,'[1]OMF By Acct. Backup'!A:S,19,FALSE),0)</f>
        <v>0</v>
      </c>
      <c r="N20" s="24">
        <f>IFERROR(VLOOKUP(A20,'[1]OMF By Acct. Backup'!A:H,8,FALSE),0)</f>
        <v>0</v>
      </c>
      <c r="O20" s="24">
        <f>IFERROR(VLOOKUP(A20,'[1]OMF By Acct. Backup'!A:K,11,FALSE),0)</f>
        <v>0</v>
      </c>
      <c r="P20" s="24">
        <f>IFERROR(VLOOKUP(A20,'[1]OMF By Acct. Backup'!A:D,4,FALSE),0)</f>
        <v>0</v>
      </c>
      <c r="Q20" s="24">
        <f>IFERROR(VLOOKUP(A20,'[1]OMF By Acct. Backup'!A:O,15,FALSE),0)</f>
        <v>0</v>
      </c>
      <c r="R20" s="24">
        <f>IFERROR(VLOOKUP(A20,'[1]OMF By Acct. Backup'!A:Q,17,FALSE),0)</f>
        <v>0</v>
      </c>
      <c r="S20" s="24">
        <f>IFERROR(VLOOKUP(A20,'[1]OMF By Acct. Backup'!A:L,12,FALSE),0)</f>
        <v>0</v>
      </c>
      <c r="T20" s="31">
        <f t="shared" si="2"/>
        <v>0</v>
      </c>
      <c r="U20" s="31">
        <v>0</v>
      </c>
      <c r="V20" s="31">
        <f t="shared" si="0"/>
        <v>0</v>
      </c>
      <c r="W20" s="23" t="s">
        <v>29</v>
      </c>
      <c r="X20" s="4"/>
      <c r="Y20" s="4"/>
    </row>
    <row r="21" spans="1:25" ht="12" customHeight="1" outlineLevel="1" x14ac:dyDescent="0.3">
      <c r="A21" s="18">
        <v>512701</v>
      </c>
      <c r="B21" s="19" t="s">
        <v>33</v>
      </c>
      <c r="C21" s="24">
        <f>IFERROR(VLOOKUP(A21,'[1]OMF By Acct. Backup'!A:C,3,FALSE),0)</f>
        <v>0</v>
      </c>
      <c r="D21" s="24">
        <f>IFERROR(VLOOKUP(A21,'[1]OMF By Acct. Backup'!A:E,5,FALSE),0)</f>
        <v>0</v>
      </c>
      <c r="E21" s="24">
        <f>IFERROR(VLOOKUP(A21,'[1]OMF By Acct. Backup'!A:F,6,FALSE),0)</f>
        <v>0</v>
      </c>
      <c r="F21" s="24">
        <f>IFERROR(VLOOKUP(A21,'[1]OMF By Acct. Backup'!A:J,10,FALSE),0)</f>
        <v>0</v>
      </c>
      <c r="G21" s="24">
        <f>IFERROR(VLOOKUP(A21,'[1]OMF By Acct. Backup'!A:M,13,FALSE),0)</f>
        <v>0</v>
      </c>
      <c r="H21" s="24">
        <f>IFERROR(VLOOKUP(A21,'[1]OMF By Acct. Backup'!A:N,14,FALSE),0)</f>
        <v>0</v>
      </c>
      <c r="I21" s="24">
        <f>IFERROR(VLOOKUP(A21,'[1]OMF By Acct. Backup'!A:P,16,FALSE),0)</f>
        <v>0</v>
      </c>
      <c r="J21" s="24">
        <f>IFERROR(VLOOKUP(A21,'[1]OMF By Acct. Backup'!A:G,7,FALSE),0)</f>
        <v>0</v>
      </c>
      <c r="K21" s="24">
        <f>IFERROR(VLOOKUP(A21,'[1]OMF By Acct. Backup'!A:I,9,FALSE),0)</f>
        <v>0</v>
      </c>
      <c r="L21" s="24">
        <f>IFERROR(VLOOKUP(A21,'[1]OMF By Acct. Backup'!A:R,18,FALSE),0)</f>
        <v>0</v>
      </c>
      <c r="M21" s="24">
        <f>IFERROR(VLOOKUP(A21,'[1]OMF By Acct. Backup'!A:S,19,FALSE),0)</f>
        <v>0</v>
      </c>
      <c r="N21" s="24">
        <f>IFERROR(VLOOKUP(A21,'[1]OMF By Acct. Backup'!A:H,8,FALSE),0)</f>
        <v>0</v>
      </c>
      <c r="O21" s="24">
        <f>IFERROR(VLOOKUP(A21,'[1]OMF By Acct. Backup'!A:K,11,FALSE),0)</f>
        <v>0</v>
      </c>
      <c r="P21" s="24">
        <f>IFERROR(VLOOKUP(A21,'[1]OMF By Acct. Backup'!A:D,4,FALSE),0)</f>
        <v>0</v>
      </c>
      <c r="Q21" s="24">
        <f>IFERROR(VLOOKUP(A21,'[1]OMF By Acct. Backup'!A:O,15,FALSE),0)</f>
        <v>0</v>
      </c>
      <c r="R21" s="24">
        <f>IFERROR(VLOOKUP(A21,'[1]OMF By Acct. Backup'!A:Q,17,FALSE),0)</f>
        <v>0</v>
      </c>
      <c r="S21" s="24">
        <f>IFERROR(VLOOKUP(A21,'[1]OMF By Acct. Backup'!A:L,12,FALSE),0)</f>
        <v>0</v>
      </c>
      <c r="T21" s="31">
        <f t="shared" si="2"/>
        <v>0</v>
      </c>
      <c r="U21" s="31">
        <v>0</v>
      </c>
      <c r="V21" s="31">
        <f t="shared" si="0"/>
        <v>0</v>
      </c>
      <c r="W21" s="23" t="s">
        <v>29</v>
      </c>
      <c r="X21" s="4"/>
      <c r="Y21" s="4"/>
    </row>
    <row r="22" spans="1:25" s="38" customFormat="1" ht="12" customHeight="1" outlineLevel="1" x14ac:dyDescent="0.3">
      <c r="A22" s="32"/>
      <c r="B22" s="33" t="s">
        <v>34</v>
      </c>
      <c r="C22" s="34">
        <f>SUM(C12:C21)</f>
        <v>2072795.57</v>
      </c>
      <c r="D22" s="34">
        <f t="shared" ref="D22:S22" si="3">SUM(D12:D21)</f>
        <v>660021</v>
      </c>
      <c r="E22" s="34">
        <f t="shared" si="3"/>
        <v>117573.57041</v>
      </c>
      <c r="F22" s="34">
        <f t="shared" si="3"/>
        <v>1784412.8311999999</v>
      </c>
      <c r="G22" s="34">
        <f t="shared" si="3"/>
        <v>1185478.0575999999</v>
      </c>
      <c r="H22" s="34">
        <f t="shared" si="3"/>
        <v>1489741.59</v>
      </c>
      <c r="I22" s="34">
        <f>SUM(I12:I21)</f>
        <v>1253426</v>
      </c>
      <c r="J22" s="34">
        <f>SUM(J12:J21)</f>
        <v>625614.406495</v>
      </c>
      <c r="K22" s="34">
        <f t="shared" si="3"/>
        <v>2529090</v>
      </c>
      <c r="L22" s="34">
        <f t="shared" si="3"/>
        <v>4641414.88</v>
      </c>
      <c r="M22" s="34">
        <f t="shared" si="3"/>
        <v>1241423.79</v>
      </c>
      <c r="N22" s="34">
        <f t="shared" si="3"/>
        <v>17726504.027082</v>
      </c>
      <c r="O22" s="34">
        <f t="shared" si="3"/>
        <v>13130161.42</v>
      </c>
      <c r="P22" s="34">
        <f t="shared" si="3"/>
        <v>14521023.170000002</v>
      </c>
      <c r="Q22" s="34">
        <f t="shared" si="3"/>
        <v>3254589</v>
      </c>
      <c r="R22" s="34">
        <f t="shared" si="3"/>
        <v>3627051</v>
      </c>
      <c r="S22" s="34">
        <f t="shared" si="3"/>
        <v>9685649.2016000003</v>
      </c>
      <c r="T22" s="34">
        <f>SUM(T12:T21)</f>
        <v>79545969.514387012</v>
      </c>
      <c r="U22" s="34">
        <f t="shared" ref="U22:V22" si="4">SUM(U12:U21)</f>
        <v>75394368.842556983</v>
      </c>
      <c r="V22" s="35">
        <f t="shared" si="4"/>
        <v>4151600.6718300092</v>
      </c>
      <c r="W22" s="36">
        <f t="shared" si="1"/>
        <v>5.5065129340092084E-2</v>
      </c>
      <c r="X22" s="37"/>
      <c r="Y22" s="37"/>
    </row>
    <row r="23" spans="1:25" ht="12" customHeight="1" outlineLevel="1" x14ac:dyDescent="0.3">
      <c r="A23" s="18">
        <v>521201</v>
      </c>
      <c r="B23" s="19" t="s">
        <v>35</v>
      </c>
      <c r="C23" s="25">
        <f>IFERROR(VLOOKUP(A23,'[1]OMF By Acct. Backup'!A:C,3,FALSE),0)</f>
        <v>0</v>
      </c>
      <c r="D23" s="25">
        <f>IFERROR(VLOOKUP(A23,'[1]OMF By Acct. Backup'!A:E,5,FALSE),0)</f>
        <v>45000</v>
      </c>
      <c r="E23" s="25">
        <f>IFERROR(VLOOKUP(A23,'[1]OMF By Acct. Backup'!A:F,6,FALSE),0)</f>
        <v>0</v>
      </c>
      <c r="F23" s="25">
        <v>403000</v>
      </c>
      <c r="G23" s="25">
        <f>IFERROR(VLOOKUP(A23,'[1]OMF By Acct. Backup'!A:M,13,FALSE),0)</f>
        <v>100000</v>
      </c>
      <c r="H23" s="25">
        <f>IFERROR(VLOOKUP(A23,'[1]OMF By Acct. Backup'!A:N,14,FALSE),0)</f>
        <v>0</v>
      </c>
      <c r="I23" s="25">
        <f>IFERROR(VLOOKUP(A23,'[1]OMF By Acct. Backup'!A:P,16,FALSE),0)</f>
        <v>0</v>
      </c>
      <c r="J23" s="25">
        <f>IFERROR(VLOOKUP(A23,'[1]OMF By Acct. Backup'!A:G,7,FALSE),0)</f>
        <v>0</v>
      </c>
      <c r="K23" s="25">
        <f>IFERROR(VLOOKUP(A23,'[1]OMF By Acct. Backup'!A:I,9,FALSE),0)</f>
        <v>2432664</v>
      </c>
      <c r="L23" s="25">
        <f>IFERROR(VLOOKUP(A23,'[1]OMF By Acct. Backup'!A:R,18,FALSE),0)</f>
        <v>42000</v>
      </c>
      <c r="M23" s="25">
        <f>IFERROR(VLOOKUP(A23,'[1]OMF By Acct. Backup'!A:S,19,FALSE),0)</f>
        <v>375000</v>
      </c>
      <c r="N23" s="25">
        <f>IFERROR(VLOOKUP(A23,'[1]OMF By Acct. Backup'!A:H,8,FALSE),0)</f>
        <v>14147100</v>
      </c>
      <c r="O23" s="25">
        <f>IFERROR(VLOOKUP(A23,'[1]OMF By Acct. Backup'!A:K,11,FALSE),0)</f>
        <v>20000</v>
      </c>
      <c r="P23" s="25">
        <f>IFERROR(VLOOKUP(A23,'[1]OMF By Acct. Backup'!A:D,4,FALSE),0)</f>
        <v>200000</v>
      </c>
      <c r="Q23" s="25">
        <f>IFERROR(VLOOKUP(A23,'[1]OMF By Acct. Backup'!A:O,15,FALSE),0)</f>
        <v>150000</v>
      </c>
      <c r="R23" s="25">
        <f>IFERROR(VLOOKUP(A23,'[1]OMF By Acct. Backup'!A:Q,17,FALSE),0)</f>
        <v>0</v>
      </c>
      <c r="S23" s="25">
        <f>IFERROR(VLOOKUP(A23,'[1]OMF By Acct. Backup'!A:L,12,FALSE),0)</f>
        <v>43342</v>
      </c>
      <c r="T23" s="25">
        <f t="shared" ref="T23:T31" si="5">SUM(C23:S23)</f>
        <v>17958106</v>
      </c>
      <c r="U23" s="25">
        <f>IFERROR(VLOOKUP(A23,'[1]OMF By Acct. Backup'!A:U,21,FALSE),0)</f>
        <v>19450521.32</v>
      </c>
      <c r="V23" s="39">
        <f t="shared" si="0"/>
        <v>-1492415.3200000003</v>
      </c>
      <c r="W23" s="23">
        <f t="shared" si="1"/>
        <v>-7.6728808212735367E-2</v>
      </c>
      <c r="X23" s="4"/>
      <c r="Y23" s="4"/>
    </row>
    <row r="24" spans="1:25" ht="12" customHeight="1" outlineLevel="1" x14ac:dyDescent="0.3">
      <c r="A24" s="18">
        <v>521202</v>
      </c>
      <c r="B24" s="19" t="s">
        <v>36</v>
      </c>
      <c r="C24" s="25">
        <f>IFERROR(VLOOKUP(A24,'[1]OMF By Acct. Backup'!A:C,3,FALSE),0)</f>
        <v>0</v>
      </c>
      <c r="D24" s="25">
        <f>IFERROR(VLOOKUP(A24,'[1]OMF By Acct. Backup'!A:E,5,FALSE),0)</f>
        <v>0</v>
      </c>
      <c r="E24" s="25">
        <f>IFERROR(VLOOKUP(A24,'[1]OMF By Acct. Backup'!A:F,6,FALSE),0)</f>
        <v>0</v>
      </c>
      <c r="F24" s="25">
        <f>IFERROR(VLOOKUP(A24,'[1]OMF By Acct. Backup'!A:J,10,FALSE),0)</f>
        <v>0</v>
      </c>
      <c r="G24" s="25">
        <f>IFERROR(VLOOKUP(A24,'[1]OMF By Acct. Backup'!A:M,13,FALSE),0)</f>
        <v>0</v>
      </c>
      <c r="H24" s="25">
        <f>IFERROR(VLOOKUP(A24,'[1]OMF By Acct. Backup'!A:N,14,FALSE),0)</f>
        <v>1950000</v>
      </c>
      <c r="I24" s="25">
        <f>IFERROR(VLOOKUP(A24,'[1]OMF By Acct. Backup'!A:P,16,FALSE),0)</f>
        <v>0</v>
      </c>
      <c r="J24" s="25">
        <f>IFERROR(VLOOKUP(A24,'[1]OMF By Acct. Backup'!A:G,7,FALSE),0)</f>
        <v>0</v>
      </c>
      <c r="K24" s="25">
        <f>IFERROR(VLOOKUP(A24,'[1]OMF By Acct. Backup'!A:I,9,FALSE),0)</f>
        <v>0</v>
      </c>
      <c r="L24" s="25">
        <f>IFERROR(VLOOKUP(A24,'[1]OMF By Acct. Backup'!A:R,18,FALSE),0)</f>
        <v>0</v>
      </c>
      <c r="M24" s="25">
        <f>IFERROR(VLOOKUP(A24,'[1]OMF By Acct. Backup'!A:S,19,FALSE),0)</f>
        <v>0</v>
      </c>
      <c r="N24" s="25">
        <f>IFERROR(VLOOKUP(A24,'[1]OMF By Acct. Backup'!A:H,8,FALSE),0)</f>
        <v>0</v>
      </c>
      <c r="O24" s="25">
        <f>IFERROR(VLOOKUP(A24,'[1]OMF By Acct. Backup'!A:K,11,FALSE),0)</f>
        <v>0</v>
      </c>
      <c r="P24" s="25">
        <f>IFERROR(VLOOKUP(A24,'[1]OMF By Acct. Backup'!A:D,4,FALSE),0)</f>
        <v>0</v>
      </c>
      <c r="Q24" s="25">
        <f>IFERROR(VLOOKUP(A24,'[1]OMF By Acct. Backup'!A:O,15,FALSE),0)</f>
        <v>0</v>
      </c>
      <c r="R24" s="25">
        <f>IFERROR(VLOOKUP(A24,'[1]OMF By Acct. Backup'!A:Q,17,FALSE),0)</f>
        <v>0</v>
      </c>
      <c r="S24" s="25">
        <f>IFERROR(VLOOKUP(A24,'[1]OMF By Acct. Backup'!A:L,12,FALSE),0)</f>
        <v>0</v>
      </c>
      <c r="T24" s="26">
        <f t="shared" si="5"/>
        <v>1950000</v>
      </c>
      <c r="U24" s="25">
        <f>IFERROR(VLOOKUP(A24,'[1]OMF By Acct. Backup'!A:U,21,FALSE),0)</f>
        <v>2000000</v>
      </c>
      <c r="V24" s="27">
        <f t="shared" si="0"/>
        <v>-50000</v>
      </c>
      <c r="W24" s="23">
        <f t="shared" si="1"/>
        <v>-2.5000000000000001E-2</v>
      </c>
      <c r="X24" s="4"/>
      <c r="Y24" s="4"/>
    </row>
    <row r="25" spans="1:25" ht="12" customHeight="1" outlineLevel="1" x14ac:dyDescent="0.3">
      <c r="A25" s="18">
        <v>521203</v>
      </c>
      <c r="B25" s="19" t="s">
        <v>37</v>
      </c>
      <c r="C25" s="25">
        <f>IFERROR(VLOOKUP(A25,'[1]OMF By Acct. Backup'!A:C,3,FALSE),0)</f>
        <v>200000</v>
      </c>
      <c r="D25" s="25">
        <f>IFERROR(VLOOKUP(A25,'[1]OMF By Acct. Backup'!A:E,5,FALSE),0)</f>
        <v>0</v>
      </c>
      <c r="E25" s="25">
        <f>IFERROR(VLOOKUP(A25,'[1]OMF By Acct. Backup'!A:F,6,FALSE),0)</f>
        <v>0</v>
      </c>
      <c r="F25" s="25">
        <f>IFERROR(VLOOKUP(A25,'[1]OMF By Acct. Backup'!A:J,10,FALSE),0)</f>
        <v>0</v>
      </c>
      <c r="G25" s="25">
        <f>IFERROR(VLOOKUP(A25,'[1]OMF By Acct. Backup'!A:M,13,FALSE),0)</f>
        <v>0</v>
      </c>
      <c r="H25" s="25">
        <f>IFERROR(VLOOKUP(A25,'[1]OMF By Acct. Backup'!A:N,14,FALSE),0)</f>
        <v>0</v>
      </c>
      <c r="I25" s="25">
        <f>IFERROR(VLOOKUP(A25,'[1]OMF By Acct. Backup'!A:P,16,FALSE),0)</f>
        <v>0</v>
      </c>
      <c r="J25" s="25">
        <f>IFERROR(VLOOKUP(A25,'[1]OMF By Acct. Backup'!A:G,7,FALSE),0)</f>
        <v>0</v>
      </c>
      <c r="K25" s="25">
        <f>IFERROR(VLOOKUP(A25,'[1]OMF By Acct. Backup'!A:I,9,FALSE),0)</f>
        <v>0</v>
      </c>
      <c r="L25" s="25">
        <f>IFERROR(VLOOKUP(A25,'[1]OMF By Acct. Backup'!A:R,18,FALSE),0)</f>
        <v>0</v>
      </c>
      <c r="M25" s="25">
        <f>IFERROR(VLOOKUP(A25,'[1]OMF By Acct. Backup'!A:S,19,FALSE),0)</f>
        <v>0</v>
      </c>
      <c r="N25" s="25">
        <f>IFERROR(VLOOKUP(A25,'[1]OMF By Acct. Backup'!A:H,8,FALSE),0)</f>
        <v>0</v>
      </c>
      <c r="O25" s="25">
        <f>IFERROR(VLOOKUP(A25,'[1]OMF By Acct. Backup'!A:K,11,FALSE),0)</f>
        <v>0</v>
      </c>
      <c r="P25" s="25">
        <f>IFERROR(VLOOKUP(A25,'[1]OMF By Acct. Backup'!A:D,4,FALSE),0)</f>
        <v>0</v>
      </c>
      <c r="Q25" s="25">
        <f>IFERROR(VLOOKUP(A25,'[1]OMF By Acct. Backup'!A:O,15,FALSE),0)</f>
        <v>0</v>
      </c>
      <c r="R25" s="25">
        <f>IFERROR(VLOOKUP(A25,'[1]OMF By Acct. Backup'!A:Q,17,FALSE),0)</f>
        <v>0</v>
      </c>
      <c r="S25" s="25">
        <f>IFERROR(VLOOKUP(A25,'[1]OMF By Acct. Backup'!A:L,12,FALSE),0)</f>
        <v>0</v>
      </c>
      <c r="T25" s="26">
        <f t="shared" si="5"/>
        <v>200000</v>
      </c>
      <c r="U25" s="25">
        <f>IFERROR(VLOOKUP(A25,'[1]OMF By Acct. Backup'!A:U,21,FALSE),0)</f>
        <v>200000</v>
      </c>
      <c r="V25" s="31">
        <f t="shared" si="0"/>
        <v>0</v>
      </c>
      <c r="W25" s="31">
        <v>0</v>
      </c>
      <c r="X25" s="4"/>
      <c r="Y25" s="4"/>
    </row>
    <row r="26" spans="1:25" ht="12" customHeight="1" outlineLevel="1" x14ac:dyDescent="0.3">
      <c r="A26" s="18">
        <v>521204</v>
      </c>
      <c r="B26" s="19" t="s">
        <v>38</v>
      </c>
      <c r="C26" s="25">
        <f>IFERROR(VLOOKUP(A26,'[1]OMF By Acct. Backup'!A:C,3,FALSE),0)</f>
        <v>0</v>
      </c>
      <c r="D26" s="25">
        <f>IFERROR(VLOOKUP(A26,'[1]OMF By Acct. Backup'!A:E,5,FALSE),0)</f>
        <v>0</v>
      </c>
      <c r="E26" s="25">
        <f>IFERROR(VLOOKUP(A26,'[1]OMF By Acct. Backup'!A:F,6,FALSE),0)</f>
        <v>0</v>
      </c>
      <c r="F26" s="25">
        <f>IFERROR(VLOOKUP(A26,'[1]OMF By Acct. Backup'!A:J,10,FALSE),0)</f>
        <v>0</v>
      </c>
      <c r="G26" s="25">
        <f>IFERROR(VLOOKUP(A26,'[1]OMF By Acct. Backup'!A:M,13,FALSE),0)</f>
        <v>0</v>
      </c>
      <c r="H26" s="25">
        <f>IFERROR(VLOOKUP(A26,'[1]OMF By Acct. Backup'!A:N,14,FALSE),0)</f>
        <v>0</v>
      </c>
      <c r="I26" s="25">
        <f>IFERROR(VLOOKUP(A26,'[1]OMF By Acct. Backup'!A:P,16,FALSE),0)</f>
        <v>0</v>
      </c>
      <c r="J26" s="25">
        <f>IFERROR(VLOOKUP(A26,'[1]OMF By Acct. Backup'!A:G,7,FALSE),0)</f>
        <v>0</v>
      </c>
      <c r="K26" s="25">
        <f>IFERROR(VLOOKUP(A26,'[1]OMF By Acct. Backup'!A:I,9,FALSE),0)</f>
        <v>0</v>
      </c>
      <c r="L26" s="25">
        <f>IFERROR(VLOOKUP(A26,'[1]OMF By Acct. Backup'!A:R,18,FALSE),0)</f>
        <v>0</v>
      </c>
      <c r="M26" s="25">
        <f>IFERROR(VLOOKUP(A26,'[1]OMF By Acct. Backup'!A:S,19,FALSE),0)</f>
        <v>0</v>
      </c>
      <c r="N26" s="25">
        <f>IFERROR(VLOOKUP(A26,'[1]OMF By Acct. Backup'!A:H,8,FALSE),0)</f>
        <v>0</v>
      </c>
      <c r="O26" s="25">
        <f>IFERROR(VLOOKUP(A26,'[1]OMF By Acct. Backup'!A:K,11,FALSE),0)</f>
        <v>0</v>
      </c>
      <c r="P26" s="25">
        <f>IFERROR(VLOOKUP(A26,'[1]OMF By Acct. Backup'!A:D,4,FALSE),0)</f>
        <v>0</v>
      </c>
      <c r="Q26" s="25">
        <f>IFERROR(VLOOKUP(A26,'[1]OMF By Acct. Backup'!A:O,15,FALSE),0)</f>
        <v>0</v>
      </c>
      <c r="R26" s="25">
        <f>IFERROR(VLOOKUP(A26,'[1]OMF By Acct. Backup'!A:Q,17,FALSE),0)</f>
        <v>0</v>
      </c>
      <c r="S26" s="25">
        <f>IFERROR(VLOOKUP(A26,'[1]OMF By Acct. Backup'!A:L,12,FALSE),0)</f>
        <v>0</v>
      </c>
      <c r="T26" s="26">
        <f t="shared" si="5"/>
        <v>0</v>
      </c>
      <c r="U26" s="26">
        <f>IFERROR(VLOOKUP(A26,'[1]OMF By Acct. Backup'!A:U,21,FALSE),0)</f>
        <v>0</v>
      </c>
      <c r="V26" s="31">
        <f t="shared" si="0"/>
        <v>0</v>
      </c>
      <c r="W26" s="31">
        <v>0</v>
      </c>
      <c r="X26" s="4"/>
      <c r="Y26" s="4"/>
    </row>
    <row r="27" spans="1:25" ht="12" customHeight="1" outlineLevel="1" x14ac:dyDescent="0.3">
      <c r="A27" s="18">
        <v>521207</v>
      </c>
      <c r="B27" s="19" t="s">
        <v>39</v>
      </c>
      <c r="C27" s="25">
        <f>IFERROR(VLOOKUP(A27,'[1]OMF By Acct. Backup'!A:C,3,FALSE),0)</f>
        <v>0</v>
      </c>
      <c r="D27" s="25">
        <f>IFERROR(VLOOKUP(A27,'[1]OMF By Acct. Backup'!A:E,5,FALSE),0)</f>
        <v>0</v>
      </c>
      <c r="E27" s="25">
        <f>IFERROR(VLOOKUP(A27,'[1]OMF By Acct. Backup'!A:F,6,FALSE),0)</f>
        <v>0</v>
      </c>
      <c r="F27" s="25">
        <f>IFERROR(VLOOKUP(A27,'[1]OMF By Acct. Backup'!A:J,10,FALSE),0)</f>
        <v>0</v>
      </c>
      <c r="G27" s="25">
        <f>IFERROR(VLOOKUP(A27,'[1]OMF By Acct. Backup'!A:M,13,FALSE),0)</f>
        <v>0</v>
      </c>
      <c r="H27" s="25">
        <f>IFERROR(VLOOKUP(A27,'[1]OMF By Acct. Backup'!A:N,14,FALSE),0)</f>
        <v>0</v>
      </c>
      <c r="I27" s="25">
        <f>IFERROR(VLOOKUP(A27,'[1]OMF By Acct. Backup'!A:P,16,FALSE),0)</f>
        <v>0</v>
      </c>
      <c r="J27" s="25">
        <f>IFERROR(VLOOKUP(A27,'[1]OMF By Acct. Backup'!A:G,7,FALSE),0)</f>
        <v>0</v>
      </c>
      <c r="K27" s="25">
        <f>IFERROR(VLOOKUP(A27,'[1]OMF By Acct. Backup'!A:I,9,FALSE),0)</f>
        <v>0</v>
      </c>
      <c r="L27" s="25">
        <f>IFERROR(VLOOKUP(A27,'[1]OMF By Acct. Backup'!A:R,18,FALSE),0)</f>
        <v>0</v>
      </c>
      <c r="M27" s="25">
        <f>IFERROR(VLOOKUP(A27,'[1]OMF By Acct. Backup'!A:S,19,FALSE),0)</f>
        <v>650000</v>
      </c>
      <c r="N27" s="25">
        <f>IFERROR(VLOOKUP(A27,'[1]OMF By Acct. Backup'!A:H,8,FALSE),0)</f>
        <v>0</v>
      </c>
      <c r="O27" s="25">
        <f>IFERROR(VLOOKUP(A27,'[1]OMF By Acct. Backup'!A:K,11,FALSE),0)</f>
        <v>0</v>
      </c>
      <c r="P27" s="25">
        <f>IFERROR(VLOOKUP(A27,'[1]OMF By Acct. Backup'!A:D,4,FALSE),0)</f>
        <v>0</v>
      </c>
      <c r="Q27" s="25">
        <f>IFERROR(VLOOKUP(A27,'[1]OMF By Acct. Backup'!A:O,15,FALSE),0)</f>
        <v>0</v>
      </c>
      <c r="R27" s="25">
        <f>IFERROR(VLOOKUP(A27,'[1]OMF By Acct. Backup'!A:Q,17,FALSE),0)</f>
        <v>0</v>
      </c>
      <c r="S27" s="25">
        <f>IFERROR(VLOOKUP(A27,'[1]OMF By Acct. Backup'!A:L,12,FALSE),0)</f>
        <v>0</v>
      </c>
      <c r="T27" s="26">
        <f t="shared" si="5"/>
        <v>650000</v>
      </c>
      <c r="U27" s="25">
        <f>IFERROR(VLOOKUP(A27,'[1]OMF By Acct. Backup'!A:U,21,FALSE),0)</f>
        <v>600000</v>
      </c>
      <c r="V27" s="27">
        <f t="shared" si="0"/>
        <v>50000</v>
      </c>
      <c r="W27" s="23">
        <f t="shared" si="1"/>
        <v>8.3333333333333329E-2</v>
      </c>
      <c r="X27" s="4"/>
      <c r="Y27" s="4"/>
    </row>
    <row r="28" spans="1:25" ht="12" customHeight="1" outlineLevel="1" x14ac:dyDescent="0.3">
      <c r="A28" s="18">
        <v>521208</v>
      </c>
      <c r="B28" s="19" t="s">
        <v>40</v>
      </c>
      <c r="C28" s="25">
        <f>IFERROR(VLOOKUP(A28,'[1]OMF By Acct. Backup'!A:C,3,FALSE),0)</f>
        <v>0</v>
      </c>
      <c r="D28" s="25">
        <f>IFERROR(VLOOKUP(A28,'[1]OMF By Acct. Backup'!A:E,5,FALSE),0)</f>
        <v>0</v>
      </c>
      <c r="E28" s="25">
        <f>IFERROR(VLOOKUP(A28,'[1]OMF By Acct. Backup'!A:F,6,FALSE),0)</f>
        <v>0</v>
      </c>
      <c r="F28" s="25">
        <f>IFERROR(VLOOKUP(A28,'[1]OMF By Acct. Backup'!A:J,10,FALSE),0)</f>
        <v>0</v>
      </c>
      <c r="G28" s="25">
        <f>IFERROR(VLOOKUP(A28,'[1]OMF By Acct. Backup'!A:M,13,FALSE),0)</f>
        <v>0</v>
      </c>
      <c r="H28" s="25">
        <f>IFERROR(VLOOKUP(A28,'[1]OMF By Acct. Backup'!A:N,14,FALSE),0)</f>
        <v>0</v>
      </c>
      <c r="I28" s="25">
        <f>IFERROR(VLOOKUP(A28,'[1]OMF By Acct. Backup'!A:P,16,FALSE),0)</f>
        <v>0</v>
      </c>
      <c r="J28" s="25">
        <f>IFERROR(VLOOKUP(A28,'[1]OMF By Acct. Backup'!A:G,7,FALSE),0)</f>
        <v>0</v>
      </c>
      <c r="K28" s="25">
        <f>IFERROR(VLOOKUP(A28,'[1]OMF By Acct. Backup'!A:I,9,FALSE),0)</f>
        <v>0</v>
      </c>
      <c r="L28" s="25">
        <f>IFERROR(VLOOKUP(A28,'[1]OMF By Acct. Backup'!A:R,18,FALSE),0)</f>
        <v>0</v>
      </c>
      <c r="M28" s="25">
        <f>IFERROR(VLOOKUP(A28,'[1]OMF By Acct. Backup'!A:S,19,FALSE),0)</f>
        <v>0</v>
      </c>
      <c r="N28" s="25">
        <f>IFERROR(VLOOKUP(A28,'[1]OMF By Acct. Backup'!A:H,8,FALSE),0)</f>
        <v>0</v>
      </c>
      <c r="O28" s="25">
        <f>IFERROR(VLOOKUP(A28,'[1]OMF By Acct. Backup'!A:K,11,FALSE),0)</f>
        <v>0</v>
      </c>
      <c r="P28" s="25">
        <f>IFERROR(VLOOKUP(A28,'[1]OMF By Acct. Backup'!A:D,4,FALSE),0)</f>
        <v>0</v>
      </c>
      <c r="Q28" s="25">
        <f>IFERROR(VLOOKUP(A28,'[1]OMF By Acct. Backup'!A:O,15,FALSE),0)</f>
        <v>0</v>
      </c>
      <c r="R28" s="25">
        <f>IFERROR(VLOOKUP(A28,'[1]OMF By Acct. Backup'!A:Q,17,FALSE),0)</f>
        <v>0</v>
      </c>
      <c r="S28" s="25">
        <f>IFERROR(VLOOKUP(A28,'[1]OMF By Acct. Backup'!A:L,12,FALSE),0)</f>
        <v>16402810</v>
      </c>
      <c r="T28" s="26">
        <f t="shared" si="5"/>
        <v>16402810</v>
      </c>
      <c r="U28" s="25">
        <f>IFERROR(VLOOKUP(A28,'[1]OMF By Acct. Backup'!A:U,21,FALSE),0)</f>
        <v>15540499</v>
      </c>
      <c r="V28" s="27">
        <f t="shared" si="0"/>
        <v>862311</v>
      </c>
      <c r="W28" s="23">
        <f t="shared" si="1"/>
        <v>5.5487986582670221E-2</v>
      </c>
      <c r="X28" s="4"/>
      <c r="Y28" s="4"/>
    </row>
    <row r="29" spans="1:25" ht="12" customHeight="1" outlineLevel="1" x14ac:dyDescent="0.3">
      <c r="A29" s="18">
        <v>521209</v>
      </c>
      <c r="B29" s="19" t="s">
        <v>41</v>
      </c>
      <c r="C29" s="25">
        <f>IFERROR(VLOOKUP(A29,'[1]OMF By Acct. Backup'!A:C,3,FALSE),0)</f>
        <v>0</v>
      </c>
      <c r="D29" s="25">
        <f>IFERROR(VLOOKUP(A29,'[1]OMF By Acct. Backup'!A:E,5,FALSE),0)</f>
        <v>0</v>
      </c>
      <c r="E29" s="25">
        <f>IFERROR(VLOOKUP(A29,'[1]OMF By Acct. Backup'!A:F,6,FALSE),0)</f>
        <v>0</v>
      </c>
      <c r="F29" s="25">
        <f>IFERROR(VLOOKUP(A29,'[1]OMF By Acct. Backup'!A:J,10,FALSE),0)</f>
        <v>0</v>
      </c>
      <c r="G29" s="25">
        <f>IFERROR(VLOOKUP(A29,'[1]OMF By Acct. Backup'!A:M,13,FALSE),0)</f>
        <v>0</v>
      </c>
      <c r="H29" s="25">
        <f>IFERROR(VLOOKUP(A29,'[1]OMF By Acct. Backup'!A:N,14,FALSE),0)</f>
        <v>0</v>
      </c>
      <c r="I29" s="25">
        <f>IFERROR(VLOOKUP(A29,'[1]OMF By Acct. Backup'!A:P,16,FALSE),0)</f>
        <v>0</v>
      </c>
      <c r="J29" s="25">
        <f>IFERROR(VLOOKUP(A29,'[1]OMF By Acct. Backup'!A:G,7,FALSE),0)</f>
        <v>0</v>
      </c>
      <c r="K29" s="25">
        <f>IFERROR(VLOOKUP(A29,'[1]OMF By Acct. Backup'!A:I,9,FALSE),0)</f>
        <v>0</v>
      </c>
      <c r="L29" s="25">
        <f>IFERROR(VLOOKUP(A29,'[1]OMF By Acct. Backup'!A:R,18,FALSE),0)</f>
        <v>0</v>
      </c>
      <c r="M29" s="25">
        <f>IFERROR(VLOOKUP(A29,'[1]OMF By Acct. Backup'!A:S,19,FALSE),0)</f>
        <v>0</v>
      </c>
      <c r="N29" s="25">
        <f>IFERROR(VLOOKUP(A29,'[1]OMF By Acct. Backup'!A:H,8,FALSE),0)</f>
        <v>50150</v>
      </c>
      <c r="O29" s="25">
        <f>IFERROR(VLOOKUP(A29,'[1]OMF By Acct. Backup'!A:K,11,FALSE),0)</f>
        <v>0</v>
      </c>
      <c r="P29" s="25">
        <f>IFERROR(VLOOKUP(A29,'[1]OMF By Acct. Backup'!A:D,4,FALSE),0)</f>
        <v>0</v>
      </c>
      <c r="Q29" s="25">
        <f>IFERROR(VLOOKUP(A29,'[1]OMF By Acct. Backup'!A:O,15,FALSE),0)</f>
        <v>0</v>
      </c>
      <c r="R29" s="25">
        <f>IFERROR(VLOOKUP(A29,'[1]OMF By Acct. Backup'!A:Q,17,FALSE),0)</f>
        <v>0</v>
      </c>
      <c r="S29" s="25">
        <f>IFERROR(VLOOKUP(A29,'[1]OMF By Acct. Backup'!A:L,12,FALSE),0)</f>
        <v>0</v>
      </c>
      <c r="T29" s="26">
        <f t="shared" si="5"/>
        <v>50150</v>
      </c>
      <c r="U29" s="25">
        <f>IFERROR(VLOOKUP(A29,'[1]OMF By Acct. Backup'!A:U,21,FALSE),0)</f>
        <v>50142</v>
      </c>
      <c r="V29" s="27">
        <f t="shared" si="0"/>
        <v>8</v>
      </c>
      <c r="W29" s="23">
        <f>IFERROR(V29/U29,0)</f>
        <v>1.5954688684137052E-4</v>
      </c>
      <c r="X29" s="4"/>
      <c r="Y29" s="4"/>
    </row>
    <row r="30" spans="1:25" ht="12" customHeight="1" x14ac:dyDescent="0.3">
      <c r="A30" s="18">
        <v>523301</v>
      </c>
      <c r="B30" s="40" t="s">
        <v>42</v>
      </c>
      <c r="C30" s="25">
        <f>IFERROR(VLOOKUP(A30,'[1]OMF By Acct. Backup'!A:C,3,FALSE),0)</f>
        <v>0</v>
      </c>
      <c r="D30" s="25">
        <f>IFERROR(VLOOKUP(A30,'[1]OMF By Acct. Backup'!A:E,5,FALSE),0)</f>
        <v>0</v>
      </c>
      <c r="E30" s="25">
        <f>IFERROR(VLOOKUP(A30,'[1]OMF By Acct. Backup'!A:F,6,FALSE),0)</f>
        <v>0</v>
      </c>
      <c r="F30" s="25">
        <f>IFERROR(VLOOKUP(A30,'[1]OMF By Acct. Backup'!A:J,10,FALSE),0)</f>
        <v>222000</v>
      </c>
      <c r="G30" s="25">
        <f>IFERROR(VLOOKUP(A30,'[1]OMF By Acct. Backup'!A:M,13,FALSE),0)</f>
        <v>0</v>
      </c>
      <c r="H30" s="25">
        <f>IFERROR(VLOOKUP(A30,'[1]OMF By Acct. Backup'!A:N,14,FALSE),0)</f>
        <v>0</v>
      </c>
      <c r="I30" s="25">
        <f>IFERROR(VLOOKUP(A30,'[1]OMF By Acct. Backup'!A:P,16,FALSE),0)</f>
        <v>0</v>
      </c>
      <c r="J30" s="25">
        <f>IFERROR(VLOOKUP(A30,'[1]OMF By Acct. Backup'!A:G,7,FALSE),0)</f>
        <v>0</v>
      </c>
      <c r="K30" s="25">
        <f>IFERROR(VLOOKUP(A30,'[1]OMF By Acct. Backup'!A:I,9,FALSE),0)</f>
        <v>0</v>
      </c>
      <c r="L30" s="25">
        <f>IFERROR(VLOOKUP(A30,'[1]OMF By Acct. Backup'!A:R,18,FALSE),0)</f>
        <v>0</v>
      </c>
      <c r="M30" s="25">
        <f>IFERROR(VLOOKUP(A30,'[1]OMF By Acct. Backup'!A:S,19,FALSE),0)</f>
        <v>0</v>
      </c>
      <c r="N30" s="25">
        <f>IFERROR(VLOOKUP(A30,'[1]OMF By Acct. Backup'!A:H,8,FALSE),0)</f>
        <v>0</v>
      </c>
      <c r="O30" s="25">
        <f>IFERROR(VLOOKUP(A30,'[1]OMF By Acct. Backup'!A:K,11,FALSE),0)</f>
        <v>0</v>
      </c>
      <c r="P30" s="25">
        <f>IFERROR(VLOOKUP(A30,'[1]OMF By Acct. Backup'!A:D,4,FALSE),0)</f>
        <v>0</v>
      </c>
      <c r="Q30" s="25">
        <f>IFERROR(VLOOKUP(A30,'[1]OMF By Acct. Backup'!A:O,15,FALSE),0)</f>
        <v>0</v>
      </c>
      <c r="R30" s="25">
        <f>IFERROR(VLOOKUP(A30,'[1]OMF By Acct. Backup'!A:Q,17,FALSE),0)</f>
        <v>0</v>
      </c>
      <c r="S30" s="25">
        <f>IFERROR(VLOOKUP(A30,'[1]OMF By Acct. Backup'!A:L,12,FALSE),0)</f>
        <v>0</v>
      </c>
      <c r="T30" s="26">
        <f t="shared" si="5"/>
        <v>222000</v>
      </c>
      <c r="U30" s="25">
        <f>IFERROR(VLOOKUP(A30,'[1]OMF By Acct. Backup'!A:U,21,FALSE),0)</f>
        <v>120000</v>
      </c>
      <c r="V30" s="27">
        <f t="shared" si="0"/>
        <v>102000</v>
      </c>
      <c r="W30" s="23">
        <f t="shared" si="1"/>
        <v>0.85</v>
      </c>
      <c r="X30" s="4"/>
      <c r="Y30" s="4"/>
    </row>
    <row r="31" spans="1:25" ht="12" customHeight="1" outlineLevel="1" x14ac:dyDescent="0.3">
      <c r="A31" s="18">
        <v>523851</v>
      </c>
      <c r="B31" s="19" t="s">
        <v>43</v>
      </c>
      <c r="C31" s="25">
        <f>IFERROR(VLOOKUP(A31,'[1]OMF By Acct. Backup'!A:C,3,FALSE),0)</f>
        <v>0</v>
      </c>
      <c r="D31" s="25">
        <f>IFERROR(VLOOKUP(A31,'[1]OMF By Acct. Backup'!A:E,5,FALSE),0)</f>
        <v>0</v>
      </c>
      <c r="E31" s="25">
        <f>IFERROR(VLOOKUP(A31,'[1]OMF By Acct. Backup'!A:F,6,FALSE),0)</f>
        <v>0</v>
      </c>
      <c r="F31" s="25">
        <v>100000</v>
      </c>
      <c r="G31" s="25">
        <f>IFERROR(VLOOKUP(A31,'[1]OMF By Acct. Backup'!A:M,13,FALSE),0)</f>
        <v>0</v>
      </c>
      <c r="H31" s="25">
        <f>IFERROR(VLOOKUP(A31,'[1]OMF By Acct. Backup'!A:N,14,FALSE),0)</f>
        <v>0</v>
      </c>
      <c r="I31" s="25">
        <f>IFERROR(VLOOKUP(A31,'[1]OMF By Acct. Backup'!A:P,16,FALSE),0)</f>
        <v>0</v>
      </c>
      <c r="J31" s="25">
        <f>IFERROR(VLOOKUP(A31,'[1]OMF By Acct. Backup'!A:G,7,FALSE),0)</f>
        <v>0</v>
      </c>
      <c r="K31" s="25">
        <f>IFERROR(VLOOKUP(A31,'[1]OMF By Acct. Backup'!A:I,9,FALSE),0)</f>
        <v>0</v>
      </c>
      <c r="L31" s="25">
        <f>IFERROR(VLOOKUP(A31,'[1]OMF By Acct. Backup'!A:R,18,FALSE),0)</f>
        <v>0</v>
      </c>
      <c r="M31" s="25">
        <f>IFERROR(VLOOKUP(A31,'[1]OMF By Acct. Backup'!A:S,19,FALSE),0)</f>
        <v>0</v>
      </c>
      <c r="N31" s="25">
        <f>IFERROR(VLOOKUP(A31,'[1]OMF By Acct. Backup'!A:H,8,FALSE),0)</f>
        <v>15250000</v>
      </c>
      <c r="O31" s="25">
        <f>IFERROR(VLOOKUP(A31,'[1]OMF By Acct. Backup'!A:K,11,FALSE),0)</f>
        <v>40000</v>
      </c>
      <c r="P31" s="25">
        <f>IFERROR(VLOOKUP(A31,'[1]OMF By Acct. Backup'!A:D,4,FALSE),0)</f>
        <v>77000</v>
      </c>
      <c r="Q31" s="25">
        <f>IFERROR(VLOOKUP(A31,'[1]OMF By Acct. Backup'!A:O,15,FALSE),0)</f>
        <v>0</v>
      </c>
      <c r="R31" s="25">
        <f>IFERROR(VLOOKUP(A31,'[1]OMF By Acct. Backup'!A:Q,17,FALSE),0)</f>
        <v>0</v>
      </c>
      <c r="S31" s="25">
        <f>IFERROR(VLOOKUP(A31,'[1]OMF By Acct. Backup'!A:L,12,FALSE),0)</f>
        <v>0</v>
      </c>
      <c r="T31" s="26">
        <f t="shared" si="5"/>
        <v>15467000</v>
      </c>
      <c r="U31" s="25">
        <f>IFERROR(VLOOKUP(A31,'[1]OMF By Acct. Backup'!A:U,21,FALSE),0)</f>
        <v>14717000</v>
      </c>
      <c r="V31" s="27">
        <f t="shared" si="0"/>
        <v>750000</v>
      </c>
      <c r="W31" s="23">
        <f>IFERROR(V31/U33,0)</f>
        <v>1.6880168918725024E-2</v>
      </c>
      <c r="X31" s="4"/>
      <c r="Y31" s="4"/>
    </row>
    <row r="32" spans="1:25" s="42" customFormat="1" ht="12" customHeight="1" outlineLevel="1" x14ac:dyDescent="0.3">
      <c r="A32" s="41"/>
      <c r="B32" s="33" t="s">
        <v>44</v>
      </c>
      <c r="C32" s="34">
        <f>SUM(C23:C31)</f>
        <v>200000</v>
      </c>
      <c r="D32" s="34">
        <f t="shared" ref="D32:T32" si="6">SUM(D23:D31)</f>
        <v>45000</v>
      </c>
      <c r="E32" s="34">
        <f t="shared" si="6"/>
        <v>0</v>
      </c>
      <c r="F32" s="34">
        <f t="shared" si="6"/>
        <v>725000</v>
      </c>
      <c r="G32" s="34">
        <f t="shared" si="6"/>
        <v>100000</v>
      </c>
      <c r="H32" s="34">
        <f t="shared" si="6"/>
        <v>1950000</v>
      </c>
      <c r="I32" s="34">
        <f t="shared" si="6"/>
        <v>0</v>
      </c>
      <c r="J32" s="34">
        <f>SUM(J23:J31)</f>
        <v>0</v>
      </c>
      <c r="K32" s="34">
        <f t="shared" si="6"/>
        <v>2432664</v>
      </c>
      <c r="L32" s="34">
        <f t="shared" si="6"/>
        <v>42000</v>
      </c>
      <c r="M32" s="34">
        <f t="shared" si="6"/>
        <v>1025000</v>
      </c>
      <c r="N32" s="34">
        <f t="shared" si="6"/>
        <v>29447250</v>
      </c>
      <c r="O32" s="34">
        <f t="shared" si="6"/>
        <v>60000</v>
      </c>
      <c r="P32" s="34">
        <f t="shared" si="6"/>
        <v>277000</v>
      </c>
      <c r="Q32" s="34">
        <f t="shared" si="6"/>
        <v>150000</v>
      </c>
      <c r="R32" s="34">
        <f>SUM(R23:R31)</f>
        <v>0</v>
      </c>
      <c r="S32" s="34">
        <f>SUM(S23:S31)</f>
        <v>16446152</v>
      </c>
      <c r="T32" s="34">
        <f t="shared" si="6"/>
        <v>52900066</v>
      </c>
      <c r="U32" s="34">
        <f>SUM(U23:U31)</f>
        <v>52678162.32</v>
      </c>
      <c r="V32" s="35">
        <f t="shared" ref="V32" si="7">SUM(V23:V31)</f>
        <v>221903.6799999997</v>
      </c>
      <c r="W32" s="36">
        <f t="shared" si="1"/>
        <v>4.2124415550416966E-3</v>
      </c>
      <c r="X32" s="4"/>
      <c r="Y32" s="4"/>
    </row>
    <row r="33" spans="1:25" ht="12" customHeight="1" outlineLevel="1" x14ac:dyDescent="0.3">
      <c r="A33" s="18">
        <v>521212</v>
      </c>
      <c r="B33" s="19" t="s">
        <v>45</v>
      </c>
      <c r="C33" s="25">
        <f>IFERROR(VLOOKUP(A33,'[1]OMF By Acct. Backup'!A:C,3,FALSE),0)</f>
        <v>0</v>
      </c>
      <c r="D33" s="25">
        <f>IFERROR(VLOOKUP(A33,'[1]OMF By Acct. Backup'!A:E,5,FALSE),0)</f>
        <v>0</v>
      </c>
      <c r="E33" s="25">
        <f>IFERROR(VLOOKUP(A33,'[1]OMF By Acct. Backup'!A:F,6,FALSE),0)</f>
        <v>0</v>
      </c>
      <c r="F33" s="25">
        <f>IFERROR(VLOOKUP(A33,'[1]OMF By Acct. Backup'!A:J,10,FALSE),0)</f>
        <v>0</v>
      </c>
      <c r="G33" s="25">
        <f>IFERROR(VLOOKUP(A33,'[1]OMF By Acct. Backup'!A:M,13,FALSE),0)</f>
        <v>0</v>
      </c>
      <c r="H33" s="25">
        <f>IFERROR(VLOOKUP(A33,'[1]OMF By Acct. Backup'!A:N,14,FALSE),0)</f>
        <v>0</v>
      </c>
      <c r="I33" s="25">
        <f>IFERROR(VLOOKUP(A33,'[1]OMF By Acct. Backup'!A:P,16,FALSE),0)</f>
        <v>0</v>
      </c>
      <c r="J33" s="25">
        <f>IFERROR(VLOOKUP(A33,'[1]OMF By Acct. Backup'!A:G,7,FALSE),0)</f>
        <v>0</v>
      </c>
      <c r="K33" s="25">
        <f>IFERROR(VLOOKUP(A33,'[1]OMF By Acct. Backup'!A:I,9,FALSE),0)</f>
        <v>0</v>
      </c>
      <c r="L33" s="25">
        <f>IFERROR(VLOOKUP(A33,'[1]OMF By Acct. Backup'!A:R,18,FALSE),0)</f>
        <v>0</v>
      </c>
      <c r="M33" s="25">
        <f>IFERROR(VLOOKUP(A33,'[1]OMF By Acct. Backup'!A:S,19,FALSE),0)</f>
        <v>0</v>
      </c>
      <c r="N33" s="25">
        <f>IFERROR(VLOOKUP(A33,'[1]OMF By Acct. Backup'!A:H,8,FALSE),0)</f>
        <v>0</v>
      </c>
      <c r="O33" s="25">
        <f>IFERROR(VLOOKUP(A33,'[1]OMF By Acct. Backup'!A:K,11,FALSE),0)</f>
        <v>11220700</v>
      </c>
      <c r="P33" s="25">
        <f>IFERROR(VLOOKUP(A33,'[1]OMF By Acct. Backup'!A:D,4,FALSE),0)</f>
        <v>34585984</v>
      </c>
      <c r="Q33" s="25">
        <f>IFERROR(VLOOKUP(A33,'[1]OMF By Acct. Backup'!A:O,15,FALSE),0)</f>
        <v>0</v>
      </c>
      <c r="R33" s="25">
        <f>IFERROR(VLOOKUP(A33,'[1]OMF By Acct. Backup'!A:Q,17,FALSE),0)</f>
        <v>0</v>
      </c>
      <c r="S33" s="25">
        <f>IFERROR(VLOOKUP(A33,'[1]OMF By Acct. Backup'!A:L,12,FALSE),0)</f>
        <v>114500</v>
      </c>
      <c r="T33" s="25">
        <f t="shared" ref="T33:T44" si="8">SUM(C33:S33)</f>
        <v>45921184</v>
      </c>
      <c r="U33" s="25">
        <f>IFERROR(VLOOKUP(A33,'[1]OMF By Acct. Backup'!A:U,21,FALSE),0)</f>
        <v>44430835</v>
      </c>
      <c r="V33" s="26">
        <f t="shared" si="0"/>
        <v>1490349</v>
      </c>
      <c r="W33" s="23">
        <f>IFERROR(V33/U33,0)</f>
        <v>3.3543123823803894E-2</v>
      </c>
      <c r="X33" s="4"/>
      <c r="Y33" s="4"/>
    </row>
    <row r="34" spans="1:25" ht="12" customHeight="1" outlineLevel="1" x14ac:dyDescent="0.3">
      <c r="A34" s="18">
        <v>522202</v>
      </c>
      <c r="B34" s="40" t="s">
        <v>46</v>
      </c>
      <c r="C34" s="25">
        <f>IFERROR(VLOOKUP(A34,'[1]OMF By Acct. Backup'!A:C,3,FALSE),0)</f>
        <v>0</v>
      </c>
      <c r="D34" s="25">
        <f>IFERROR(VLOOKUP(A34,'[1]OMF By Acct. Backup'!A:E,5,FALSE),0)</f>
        <v>0</v>
      </c>
      <c r="E34" s="25">
        <f>IFERROR(VLOOKUP(A34,'[1]OMF By Acct. Backup'!A:F,6,FALSE),0)</f>
        <v>0</v>
      </c>
      <c r="F34" s="25">
        <f>IFERROR(VLOOKUP(A34,'[1]OMF By Acct. Backup'!A:J,10,FALSE),0)</f>
        <v>0</v>
      </c>
      <c r="G34" s="25">
        <f>IFERROR(VLOOKUP(A34,'[1]OMF By Acct. Backup'!A:M,13,FALSE),0)</f>
        <v>0</v>
      </c>
      <c r="H34" s="25">
        <f>IFERROR(VLOOKUP(A34,'[1]OMF By Acct. Backup'!A:N,14,FALSE),0)</f>
        <v>0</v>
      </c>
      <c r="I34" s="25">
        <f>IFERROR(VLOOKUP(A34,'[1]OMF By Acct. Backup'!A:P,16,FALSE),0)</f>
        <v>0</v>
      </c>
      <c r="J34" s="25">
        <f>IFERROR(VLOOKUP(A34,'[1]OMF By Acct. Backup'!A:G,7,FALSE),0)</f>
        <v>0</v>
      </c>
      <c r="K34" s="25">
        <f>IFERROR(VLOOKUP(A34,'[1]OMF By Acct. Backup'!A:I,9,FALSE),0)</f>
        <v>0</v>
      </c>
      <c r="L34" s="25">
        <f>IFERROR(VLOOKUP(A34,'[1]OMF By Acct. Backup'!A:R,18,FALSE),0)</f>
        <v>0</v>
      </c>
      <c r="M34" s="25">
        <f>IFERROR(VLOOKUP(A34,'[1]OMF By Acct. Backup'!A:S,19,FALSE),0)</f>
        <v>0</v>
      </c>
      <c r="N34" s="25">
        <f>IFERROR(VLOOKUP(A34,'[1]OMF By Acct. Backup'!A:H,8,FALSE),0)</f>
        <v>0</v>
      </c>
      <c r="O34" s="25">
        <f>IFERROR(VLOOKUP(A34,'[1]OMF By Acct. Backup'!A:K,11,FALSE),0)</f>
        <v>0</v>
      </c>
      <c r="P34" s="25">
        <f>IFERROR(VLOOKUP(A34,'[1]OMF By Acct. Backup'!A:D,4,FALSE),0)</f>
        <v>69571.87999999999</v>
      </c>
      <c r="Q34" s="25">
        <f>IFERROR(VLOOKUP(A34,'[1]OMF By Acct. Backup'!A:O,15,FALSE),0)</f>
        <v>0</v>
      </c>
      <c r="R34" s="25">
        <f>IFERROR(VLOOKUP(A34,'[1]OMF By Acct. Backup'!A:Q,17,FALSE),0)</f>
        <v>0</v>
      </c>
      <c r="S34" s="25">
        <f>IFERROR(VLOOKUP(A34,'[1]OMF By Acct. Backup'!A:L,12,FALSE),0)</f>
        <v>0</v>
      </c>
      <c r="T34" s="26">
        <f t="shared" si="8"/>
        <v>69571.87999999999</v>
      </c>
      <c r="U34" s="25">
        <f>IFERROR(VLOOKUP(A34,'[1]OMF By Acct. Backup'!A:U,21,FALSE),0)</f>
        <v>66425</v>
      </c>
      <c r="V34" s="27">
        <f t="shared" si="0"/>
        <v>3146.8799999999901</v>
      </c>
      <c r="W34" s="23">
        <f t="shared" si="1"/>
        <v>4.7374934136243732E-2</v>
      </c>
      <c r="X34" s="4"/>
      <c r="Y34" s="4"/>
    </row>
    <row r="35" spans="1:25" ht="12" customHeight="1" outlineLevel="1" x14ac:dyDescent="0.3">
      <c r="A35" s="18">
        <v>522301</v>
      </c>
      <c r="B35" s="19" t="s">
        <v>47</v>
      </c>
      <c r="C35" s="25">
        <f>IFERROR(VLOOKUP(A35,'[1]OMF By Acct. Backup'!A:C,3,FALSE),0)</f>
        <v>0</v>
      </c>
      <c r="D35" s="25">
        <f>IFERROR(VLOOKUP(A35,'[1]OMF By Acct. Backup'!A:E,5,FALSE),0)</f>
        <v>0</v>
      </c>
      <c r="E35" s="25">
        <f>IFERROR(VLOOKUP(A35,'[1]OMF By Acct. Backup'!A:F,6,FALSE),0)</f>
        <v>0</v>
      </c>
      <c r="F35" s="25">
        <f>IFERROR(VLOOKUP(A35,'[1]OMF By Acct. Backup'!A:J,10,FALSE),0)</f>
        <v>0</v>
      </c>
      <c r="G35" s="25">
        <f>IFERROR(VLOOKUP(A35,'[1]OMF By Acct. Backup'!A:M,13,FALSE),0)</f>
        <v>0</v>
      </c>
      <c r="H35" s="25">
        <f>IFERROR(VLOOKUP(A35,'[1]OMF By Acct. Backup'!A:N,14,FALSE),0)</f>
        <v>0</v>
      </c>
      <c r="I35" s="25">
        <f>IFERROR(VLOOKUP(A35,'[1]OMF By Acct. Backup'!A:P,16,FALSE),0)</f>
        <v>0</v>
      </c>
      <c r="J35" s="25">
        <f>IFERROR(VLOOKUP(A35,'[1]OMF By Acct. Backup'!A:G,7,FALSE),0)</f>
        <v>0</v>
      </c>
      <c r="K35" s="25">
        <f>IFERROR(VLOOKUP(A35,'[1]OMF By Acct. Backup'!A:I,9,FALSE),0)</f>
        <v>0</v>
      </c>
      <c r="L35" s="25">
        <f>IFERROR(VLOOKUP(A35,'[1]OMF By Acct. Backup'!A:R,18,FALSE),0)</f>
        <v>0</v>
      </c>
      <c r="M35" s="25">
        <f>IFERROR(VLOOKUP(A35,'[1]OMF By Acct. Backup'!A:S,19,FALSE),0)</f>
        <v>0</v>
      </c>
      <c r="N35" s="25">
        <f>IFERROR(VLOOKUP(A35,'[1]OMF By Acct. Backup'!A:H,8,FALSE),0)</f>
        <v>0</v>
      </c>
      <c r="O35" s="25">
        <f>IFERROR(VLOOKUP(A35,'[1]OMF By Acct. Backup'!A:K,11,FALSE),0)</f>
        <v>0</v>
      </c>
      <c r="P35" s="25">
        <f>IFERROR(VLOOKUP(A35,'[1]OMF By Acct. Backup'!A:D,4,FALSE),0)</f>
        <v>376000</v>
      </c>
      <c r="Q35" s="25">
        <f>IFERROR(VLOOKUP(A35,'[1]OMF By Acct. Backup'!A:O,15,FALSE),0)</f>
        <v>0</v>
      </c>
      <c r="R35" s="25">
        <f>IFERROR(VLOOKUP(A35,'[1]OMF By Acct. Backup'!A:Q,17,FALSE),0)</f>
        <v>0</v>
      </c>
      <c r="S35" s="25">
        <f>IFERROR(VLOOKUP(A35,'[1]OMF By Acct. Backup'!A:L,12,FALSE),0)</f>
        <v>0</v>
      </c>
      <c r="T35" s="26">
        <f t="shared" si="8"/>
        <v>376000</v>
      </c>
      <c r="U35" s="25">
        <f>IFERROR(VLOOKUP(A35,'[1]OMF By Acct. Backup'!A:U,21,FALSE),0)</f>
        <v>357000</v>
      </c>
      <c r="V35" s="27">
        <f t="shared" si="0"/>
        <v>19000</v>
      </c>
      <c r="W35" s="23">
        <f t="shared" si="1"/>
        <v>5.3221288515406161E-2</v>
      </c>
      <c r="X35" s="4"/>
      <c r="Y35" s="4"/>
    </row>
    <row r="36" spans="1:25" ht="12" customHeight="1" outlineLevel="1" x14ac:dyDescent="0.3">
      <c r="A36" s="18">
        <v>522302</v>
      </c>
      <c r="B36" s="40" t="s">
        <v>48</v>
      </c>
      <c r="C36" s="25">
        <f>IFERROR(VLOOKUP(A36,'[1]OMF By Acct. Backup'!A:C,3,FALSE),0)</f>
        <v>0</v>
      </c>
      <c r="D36" s="25">
        <f>IFERROR(VLOOKUP(A36,'[1]OMF By Acct. Backup'!A:E,5,FALSE),0)</f>
        <v>0</v>
      </c>
      <c r="E36" s="25">
        <f>IFERROR(VLOOKUP(A36,'[1]OMF By Acct. Backup'!A:F,6,FALSE),0)</f>
        <v>0</v>
      </c>
      <c r="F36" s="25">
        <f>IFERROR(VLOOKUP(A36,'[1]OMF By Acct. Backup'!A:J,10,FALSE),0)</f>
        <v>0</v>
      </c>
      <c r="G36" s="25">
        <f>IFERROR(VLOOKUP(A36,'[1]OMF By Acct. Backup'!A:M,13,FALSE),0)</f>
        <v>0</v>
      </c>
      <c r="H36" s="25">
        <f>IFERROR(VLOOKUP(A36,'[1]OMF By Acct. Backup'!A:N,14,FALSE),0)</f>
        <v>0</v>
      </c>
      <c r="I36" s="25">
        <f>IFERROR(VLOOKUP(A36,'[1]OMF By Acct. Backup'!A:P,16,FALSE),0)</f>
        <v>0</v>
      </c>
      <c r="J36" s="25">
        <f>IFERROR(VLOOKUP(A36,'[1]OMF By Acct. Backup'!A:G,7,FALSE),0)</f>
        <v>0</v>
      </c>
      <c r="K36" s="25">
        <f>IFERROR(VLOOKUP(A36,'[1]OMF By Acct. Backup'!A:I,9,FALSE),0)</f>
        <v>0</v>
      </c>
      <c r="L36" s="25">
        <f>IFERROR(VLOOKUP(A36,'[1]OMF By Acct. Backup'!A:R,18,FALSE),0)</f>
        <v>0</v>
      </c>
      <c r="M36" s="25">
        <f>IFERROR(VLOOKUP(A36,'[1]OMF By Acct. Backup'!A:S,19,FALSE),0)</f>
        <v>0</v>
      </c>
      <c r="N36" s="25">
        <f>IFERROR(VLOOKUP(A36,'[1]OMF By Acct. Backup'!A:H,8,FALSE),0)</f>
        <v>35200</v>
      </c>
      <c r="O36" s="25">
        <f>IFERROR(VLOOKUP(A36,'[1]OMF By Acct. Backup'!A:K,11,FALSE),0)</f>
        <v>0</v>
      </c>
      <c r="P36" s="25">
        <f>IFERROR(VLOOKUP(A36,'[1]OMF By Acct. Backup'!A:D,4,FALSE),0)</f>
        <v>55350</v>
      </c>
      <c r="Q36" s="25">
        <f>IFERROR(VLOOKUP(A36,'[1]OMF By Acct. Backup'!A:O,15,FALSE),0)</f>
        <v>0</v>
      </c>
      <c r="R36" s="25">
        <f>IFERROR(VLOOKUP(A36,'[1]OMF By Acct. Backup'!A:Q,17,FALSE),0)</f>
        <v>0</v>
      </c>
      <c r="S36" s="25">
        <f>IFERROR(VLOOKUP(A36,'[1]OMF By Acct. Backup'!A:L,12,FALSE),0)</f>
        <v>0</v>
      </c>
      <c r="T36" s="26">
        <f t="shared" si="8"/>
        <v>90550</v>
      </c>
      <c r="U36" s="25">
        <f>IFERROR(VLOOKUP(A36,'[1]OMF By Acct. Backup'!A:U,21,FALSE),0)</f>
        <v>70550</v>
      </c>
      <c r="V36" s="27">
        <f t="shared" si="0"/>
        <v>20000</v>
      </c>
      <c r="W36" s="23">
        <f t="shared" si="1"/>
        <v>0.28348688873139616</v>
      </c>
      <c r="X36" s="4"/>
      <c r="Y36" s="4"/>
    </row>
    <row r="37" spans="1:25" ht="12" customHeight="1" outlineLevel="1" x14ac:dyDescent="0.3">
      <c r="A37" s="18">
        <v>523801</v>
      </c>
      <c r="B37" s="19" t="s">
        <v>49</v>
      </c>
      <c r="C37" s="25">
        <f>IFERROR(VLOOKUP(A37,'[1]OMF By Acct. Backup'!A:C,3,FALSE),0)</f>
        <v>650</v>
      </c>
      <c r="D37" s="25">
        <f>IFERROR(VLOOKUP(A37,'[1]OMF By Acct. Backup'!A:E,5,FALSE),0)</f>
        <v>0</v>
      </c>
      <c r="E37" s="25">
        <f>IFERROR(VLOOKUP(A37,'[1]OMF By Acct. Backup'!A:F,6,FALSE),0)</f>
        <v>0</v>
      </c>
      <c r="F37" s="25">
        <f>IFERROR(VLOOKUP(A37,'[1]OMF By Acct. Backup'!A:J,10,FALSE),0)</f>
        <v>0</v>
      </c>
      <c r="G37" s="25">
        <f>IFERROR(VLOOKUP(A37,'[1]OMF By Acct. Backup'!A:M,13,FALSE),0)</f>
        <v>1055</v>
      </c>
      <c r="H37" s="25">
        <f>IFERROR(VLOOKUP(A37,'[1]OMF By Acct. Backup'!A:N,14,FALSE),0)</f>
        <v>0</v>
      </c>
      <c r="I37" s="25">
        <f>IFERROR(VLOOKUP(A37,'[1]OMF By Acct. Backup'!A:P,16,FALSE),0)</f>
        <v>0</v>
      </c>
      <c r="J37" s="25">
        <f>IFERROR(VLOOKUP(A37,'[1]OMF By Acct. Backup'!A:G,7,FALSE),0)</f>
        <v>0</v>
      </c>
      <c r="K37" s="25">
        <f>IFERROR(VLOOKUP(A37,'[1]OMF By Acct. Backup'!A:I,9,FALSE),0)</f>
        <v>0</v>
      </c>
      <c r="L37" s="25">
        <f>IFERROR(VLOOKUP(A37,'[1]OMF By Acct. Backup'!A:R,18,FALSE),0)</f>
        <v>0</v>
      </c>
      <c r="M37" s="25">
        <f>IFERROR(VLOOKUP(A37,'[1]OMF By Acct. Backup'!A:S,19,FALSE),0)</f>
        <v>0</v>
      </c>
      <c r="N37" s="25">
        <f>IFERROR(VLOOKUP(A37,'[1]OMF By Acct. Backup'!A:H,8,FALSE),0)</f>
        <v>0</v>
      </c>
      <c r="O37" s="25">
        <f>IFERROR(VLOOKUP(A37,'[1]OMF By Acct. Backup'!A:K,11,FALSE),0)</f>
        <v>100</v>
      </c>
      <c r="P37" s="25">
        <f>IFERROR(VLOOKUP(A37,'[1]OMF By Acct. Backup'!A:D,4,FALSE),0)</f>
        <v>17070</v>
      </c>
      <c r="Q37" s="25">
        <f>IFERROR(VLOOKUP(A37,'[1]OMF By Acct. Backup'!A:O,15,FALSE),0)</f>
        <v>300</v>
      </c>
      <c r="R37" s="25">
        <f>IFERROR(VLOOKUP(A37,'[1]OMF By Acct. Backup'!A:Q,17,FALSE),0)</f>
        <v>667</v>
      </c>
      <c r="S37" s="25">
        <f>IFERROR(VLOOKUP(A37,'[1]OMF By Acct. Backup'!A:L,12,FALSE),0)</f>
        <v>0</v>
      </c>
      <c r="T37" s="26">
        <f t="shared" si="8"/>
        <v>19842</v>
      </c>
      <c r="U37" s="25">
        <f>IFERROR(VLOOKUP(A37,'[1]OMF By Acct. Backup'!A:U,21,FALSE),0)</f>
        <v>25056</v>
      </c>
      <c r="V37" s="27">
        <f t="shared" si="0"/>
        <v>-5214</v>
      </c>
      <c r="W37" s="23">
        <f t="shared" si="1"/>
        <v>-0.20809386973180077</v>
      </c>
      <c r="X37" s="4"/>
      <c r="Y37" s="4"/>
    </row>
    <row r="38" spans="1:25" ht="12" customHeight="1" outlineLevel="1" x14ac:dyDescent="0.3">
      <c r="A38" s="18">
        <v>531102</v>
      </c>
      <c r="B38" s="19" t="s">
        <v>50</v>
      </c>
      <c r="C38" s="25">
        <f>IFERROR(VLOOKUP(A38,'[1]OMF By Acct. Backup'!A:C,3,FALSE),0)</f>
        <v>0</v>
      </c>
      <c r="D38" s="25">
        <f>IFERROR(VLOOKUP(A38,'[1]OMF By Acct. Backup'!A:E,5,FALSE),0)</f>
        <v>0</v>
      </c>
      <c r="E38" s="25">
        <f>IFERROR(VLOOKUP(A38,'[1]OMF By Acct. Backup'!A:F,6,FALSE),0)</f>
        <v>0</v>
      </c>
      <c r="F38" s="25">
        <f>IFERROR(VLOOKUP(A38,'[1]OMF By Acct. Backup'!A:J,10,FALSE),0)</f>
        <v>0</v>
      </c>
      <c r="G38" s="25">
        <f>IFERROR(VLOOKUP(A38,'[1]OMF By Acct. Backup'!A:M,13,FALSE),0)</f>
        <v>0</v>
      </c>
      <c r="H38" s="25">
        <f>IFERROR(VLOOKUP(A38,'[1]OMF By Acct. Backup'!A:N,14,FALSE),0)</f>
        <v>0</v>
      </c>
      <c r="I38" s="25">
        <f>IFERROR(VLOOKUP(A38,'[1]OMF By Acct. Backup'!A:P,16,FALSE),0)</f>
        <v>0</v>
      </c>
      <c r="J38" s="25">
        <f>IFERROR(VLOOKUP(A38,'[1]OMF By Acct. Backup'!A:G,7,FALSE),0)</f>
        <v>0</v>
      </c>
      <c r="K38" s="25">
        <f>IFERROR(VLOOKUP(A38,'[1]OMF By Acct. Backup'!A:I,9,FALSE),0)</f>
        <v>948</v>
      </c>
      <c r="L38" s="25">
        <f>IFERROR(VLOOKUP(A38,'[1]OMF By Acct. Backup'!A:R,18,FALSE),0)</f>
        <v>0</v>
      </c>
      <c r="M38" s="25">
        <f>IFERROR(VLOOKUP(A38,'[1]OMF By Acct. Backup'!A:S,19,FALSE),0)</f>
        <v>0</v>
      </c>
      <c r="N38" s="25">
        <f>IFERROR(VLOOKUP(A38,'[1]OMF By Acct. Backup'!A:H,8,FALSE),0)</f>
        <v>0</v>
      </c>
      <c r="O38" s="25">
        <f>IFERROR(VLOOKUP(A38,'[1]OMF By Acct. Backup'!A:K,11,FALSE),0)</f>
        <v>74700</v>
      </c>
      <c r="P38" s="25">
        <f>IFERROR(VLOOKUP(A38,'[1]OMF By Acct. Backup'!A:D,4,FALSE),0)</f>
        <v>7089825</v>
      </c>
      <c r="Q38" s="25">
        <f>IFERROR(VLOOKUP(A38,'[1]OMF By Acct. Backup'!A:O,15,FALSE),0)</f>
        <v>0</v>
      </c>
      <c r="R38" s="25">
        <f>IFERROR(VLOOKUP(A38,'[1]OMF By Acct. Backup'!A:Q,17,FALSE),0)</f>
        <v>0</v>
      </c>
      <c r="S38" s="25">
        <f>IFERROR(VLOOKUP(A38,'[1]OMF By Acct. Backup'!A:L,12,FALSE),0)</f>
        <v>151068.04999999999</v>
      </c>
      <c r="T38" s="26">
        <f t="shared" si="8"/>
        <v>7316541.0499999998</v>
      </c>
      <c r="U38" s="25">
        <f>IFERROR(VLOOKUP(A38,'[1]OMF By Acct. Backup'!A:U,21,FALSE),0)</f>
        <v>6108487.4799999995</v>
      </c>
      <c r="V38" s="27">
        <f t="shared" si="0"/>
        <v>1208053.5700000003</v>
      </c>
      <c r="W38" s="23">
        <f t="shared" si="1"/>
        <v>0.19776639863064766</v>
      </c>
      <c r="X38" s="4"/>
      <c r="Y38" s="4"/>
    </row>
    <row r="39" spans="1:25" ht="12" customHeight="1" outlineLevel="1" x14ac:dyDescent="0.3">
      <c r="A39" s="18">
        <v>531107</v>
      </c>
      <c r="B39" s="19" t="s">
        <v>51</v>
      </c>
      <c r="C39" s="25">
        <f>IFERROR(VLOOKUP(A39,'[1]OMF By Acct. Backup'!A:C,3,FALSE),0)</f>
        <v>0</v>
      </c>
      <c r="D39" s="25">
        <f>IFERROR(VLOOKUP(A39,'[1]OMF By Acct. Backup'!A:E,5,FALSE),0)</f>
        <v>0</v>
      </c>
      <c r="E39" s="25">
        <f>IFERROR(VLOOKUP(A39,'[1]OMF By Acct. Backup'!A:F,6,FALSE),0)</f>
        <v>0</v>
      </c>
      <c r="F39" s="25">
        <f>IFERROR(VLOOKUP(A39,'[1]OMF By Acct. Backup'!A:J,10,FALSE),0)</f>
        <v>0</v>
      </c>
      <c r="G39" s="25">
        <f>IFERROR(VLOOKUP(A39,'[1]OMF By Acct. Backup'!A:M,13,FALSE),0)</f>
        <v>0</v>
      </c>
      <c r="H39" s="25">
        <f>IFERROR(VLOOKUP(A39,'[1]OMF By Acct. Backup'!A:N,14,FALSE),0)</f>
        <v>0</v>
      </c>
      <c r="I39" s="25">
        <f>IFERROR(VLOOKUP(A39,'[1]OMF By Acct. Backup'!A:P,16,FALSE),0)</f>
        <v>0</v>
      </c>
      <c r="J39" s="25">
        <f>IFERROR(VLOOKUP(A39,'[1]OMF By Acct. Backup'!A:G,7,FALSE),0)</f>
        <v>0</v>
      </c>
      <c r="K39" s="25">
        <f>IFERROR(VLOOKUP(A39,'[1]OMF By Acct. Backup'!A:I,9,FALSE),0)</f>
        <v>0</v>
      </c>
      <c r="L39" s="25">
        <f>IFERROR(VLOOKUP(A39,'[1]OMF By Acct. Backup'!A:R,18,FALSE),0)</f>
        <v>0</v>
      </c>
      <c r="M39" s="25">
        <f>IFERROR(VLOOKUP(A39,'[1]OMF By Acct. Backup'!A:S,19,FALSE),0)</f>
        <v>0</v>
      </c>
      <c r="N39" s="25">
        <f>IFERROR(VLOOKUP(A39,'[1]OMF By Acct. Backup'!A:H,8,FALSE),0)</f>
        <v>0</v>
      </c>
      <c r="O39" s="25">
        <f>IFERROR(VLOOKUP(A39,'[1]OMF By Acct. Backup'!A:K,11,FALSE),0)</f>
        <v>0</v>
      </c>
      <c r="P39" s="25">
        <f>IFERROR(VLOOKUP(A39,'[1]OMF By Acct. Backup'!A:D,4,FALSE),0)</f>
        <v>2250000</v>
      </c>
      <c r="Q39" s="25">
        <f>IFERROR(VLOOKUP(A39,'[1]OMF By Acct. Backup'!A:O,15,FALSE),0)</f>
        <v>0</v>
      </c>
      <c r="R39" s="25">
        <f>IFERROR(VLOOKUP(A39,'[1]OMF By Acct. Backup'!A:Q,17,FALSE),0)</f>
        <v>0</v>
      </c>
      <c r="S39" s="25">
        <f>IFERROR(VLOOKUP(A39,'[1]OMF By Acct. Backup'!A:L,12,FALSE),0)</f>
        <v>0</v>
      </c>
      <c r="T39" s="26">
        <f t="shared" si="8"/>
        <v>2250000</v>
      </c>
      <c r="U39" s="25">
        <f>IFERROR(VLOOKUP(A39,'[1]OMF By Acct. Backup'!A:U,21,FALSE),0)</f>
        <v>2010000</v>
      </c>
      <c r="V39" s="27">
        <f t="shared" si="0"/>
        <v>240000</v>
      </c>
      <c r="W39" s="23">
        <f t="shared" si="1"/>
        <v>0.11940298507462686</v>
      </c>
      <c r="X39" s="4"/>
      <c r="Y39" s="4"/>
    </row>
    <row r="40" spans="1:25" ht="12" customHeight="1" outlineLevel="1" x14ac:dyDescent="0.3">
      <c r="A40" s="18">
        <v>531211</v>
      </c>
      <c r="B40" s="43" t="s">
        <v>52</v>
      </c>
      <c r="C40" s="25">
        <f>IFERROR(VLOOKUP(A40,'[1]OMF By Acct. Backup'!A:C,3,FALSE),0)</f>
        <v>0</v>
      </c>
      <c r="D40" s="25">
        <f>IFERROR(VLOOKUP(A40,'[1]OMF By Acct. Backup'!A:E,5,FALSE),0)</f>
        <v>0</v>
      </c>
      <c r="E40" s="25">
        <f>IFERROR(VLOOKUP(A40,'[1]OMF By Acct. Backup'!A:F,6,FALSE),0)</f>
        <v>0</v>
      </c>
      <c r="F40" s="25">
        <f>IFERROR(VLOOKUP(A40,'[1]OMF By Acct. Backup'!A:J,10,FALSE),0)</f>
        <v>0</v>
      </c>
      <c r="G40" s="25">
        <f>IFERROR(VLOOKUP(A40,'[1]OMF By Acct. Backup'!A:M,13,FALSE),0)</f>
        <v>0</v>
      </c>
      <c r="H40" s="25">
        <f>IFERROR(VLOOKUP(A40,'[1]OMF By Acct. Backup'!A:N,14,FALSE),0)</f>
        <v>0</v>
      </c>
      <c r="I40" s="25">
        <f>IFERROR(VLOOKUP(A40,'[1]OMF By Acct. Backup'!A:P,16,FALSE),0)</f>
        <v>0</v>
      </c>
      <c r="J40" s="25">
        <f>IFERROR(VLOOKUP(A40,'[1]OMF By Acct. Backup'!A:G,7,FALSE),0)</f>
        <v>0</v>
      </c>
      <c r="K40" s="25">
        <f>IFERROR(VLOOKUP(A40,'[1]OMF By Acct. Backup'!A:I,9,FALSE),0)</f>
        <v>0</v>
      </c>
      <c r="L40" s="25">
        <f>IFERROR(VLOOKUP(A40,'[1]OMF By Acct. Backup'!A:R,18,FALSE),0)</f>
        <v>0</v>
      </c>
      <c r="M40" s="25">
        <f>IFERROR(VLOOKUP(A40,'[1]OMF By Acct. Backup'!A:S,19,FALSE),0)</f>
        <v>0</v>
      </c>
      <c r="N40" s="25">
        <f>IFERROR(VLOOKUP(A40,'[1]OMF By Acct. Backup'!A:H,8,FALSE),0)</f>
        <v>0</v>
      </c>
      <c r="O40" s="25">
        <f>IFERROR(VLOOKUP(A40,'[1]OMF By Acct. Backup'!A:K,11,FALSE),0)</f>
        <v>0</v>
      </c>
      <c r="P40" s="25">
        <f>IFERROR(VLOOKUP(A40,'[1]OMF By Acct. Backup'!A:D,4,FALSE),0)</f>
        <v>1200000</v>
      </c>
      <c r="Q40" s="25">
        <f>IFERROR(VLOOKUP(A40,'[1]OMF By Acct. Backup'!A:O,15,FALSE),0)</f>
        <v>0</v>
      </c>
      <c r="R40" s="25">
        <f>IFERROR(VLOOKUP(A40,'[1]OMF By Acct. Backup'!A:Q,17,FALSE),0)</f>
        <v>0</v>
      </c>
      <c r="S40" s="25">
        <f>IFERROR(VLOOKUP(A40,'[1]OMF By Acct. Backup'!A:L,12,FALSE),0)</f>
        <v>0</v>
      </c>
      <c r="T40" s="26">
        <f t="shared" si="8"/>
        <v>1200000</v>
      </c>
      <c r="U40" s="25">
        <f>IFERROR(VLOOKUP(A40,'[1]OMF By Acct. Backup'!A:U,21,FALSE),0)</f>
        <v>950000</v>
      </c>
      <c r="V40" s="27">
        <f t="shared" si="0"/>
        <v>250000</v>
      </c>
      <c r="W40" s="23">
        <f t="shared" si="1"/>
        <v>0.26315789473684209</v>
      </c>
      <c r="X40" s="4"/>
      <c r="Y40" s="4"/>
    </row>
    <row r="41" spans="1:25" ht="12" customHeight="1" outlineLevel="1" x14ac:dyDescent="0.3">
      <c r="A41" s="18">
        <v>531221</v>
      </c>
      <c r="B41" s="43" t="s">
        <v>53</v>
      </c>
      <c r="C41" s="25">
        <f>IFERROR(VLOOKUP(A41,'[1]OMF By Acct. Backup'!A:C,3,FALSE),0)</f>
        <v>0</v>
      </c>
      <c r="D41" s="25">
        <f>IFERROR(VLOOKUP(A41,'[1]OMF By Acct. Backup'!A:E,5,FALSE),0)</f>
        <v>0</v>
      </c>
      <c r="E41" s="25">
        <f>IFERROR(VLOOKUP(A41,'[1]OMF By Acct. Backup'!A:F,6,FALSE),0)</f>
        <v>0</v>
      </c>
      <c r="F41" s="25">
        <f>IFERROR(VLOOKUP(A41,'[1]OMF By Acct. Backup'!A:J,10,FALSE),0)</f>
        <v>0</v>
      </c>
      <c r="G41" s="25">
        <f>IFERROR(VLOOKUP(A41,'[1]OMF By Acct. Backup'!A:M,13,FALSE),0)</f>
        <v>0</v>
      </c>
      <c r="H41" s="25">
        <f>IFERROR(VLOOKUP(A41,'[1]OMF By Acct. Backup'!A:N,14,FALSE),0)</f>
        <v>0</v>
      </c>
      <c r="I41" s="25">
        <f>IFERROR(VLOOKUP(A41,'[1]OMF By Acct. Backup'!A:P,16,FALSE),0)</f>
        <v>0</v>
      </c>
      <c r="J41" s="25">
        <f>IFERROR(VLOOKUP(A41,'[1]OMF By Acct. Backup'!A:G,7,FALSE),0)</f>
        <v>0</v>
      </c>
      <c r="K41" s="25">
        <f>IFERROR(VLOOKUP(A41,'[1]OMF By Acct. Backup'!A:I,9,FALSE),0)</f>
        <v>0</v>
      </c>
      <c r="L41" s="25">
        <f>IFERROR(VLOOKUP(A41,'[1]OMF By Acct. Backup'!A:R,18,FALSE),0)</f>
        <v>0</v>
      </c>
      <c r="M41" s="25">
        <f>IFERROR(VLOOKUP(A41,'[1]OMF By Acct. Backup'!A:S,19,FALSE),0)</f>
        <v>0</v>
      </c>
      <c r="N41" s="25">
        <f>IFERROR(VLOOKUP(A41,'[1]OMF By Acct. Backup'!A:H,8,FALSE),0)</f>
        <v>0</v>
      </c>
      <c r="O41" s="25">
        <f>IFERROR(VLOOKUP(A41,'[1]OMF By Acct. Backup'!A:K,11,FALSE),0)</f>
        <v>0</v>
      </c>
      <c r="P41" s="25">
        <f>IFERROR(VLOOKUP(A41,'[1]OMF By Acct. Backup'!A:D,4,FALSE),0)</f>
        <v>72000</v>
      </c>
      <c r="Q41" s="25">
        <f>IFERROR(VLOOKUP(A41,'[1]OMF By Acct. Backup'!A:O,15,FALSE),0)</f>
        <v>0</v>
      </c>
      <c r="R41" s="25">
        <f>IFERROR(VLOOKUP(A41,'[1]OMF By Acct. Backup'!A:Q,17,FALSE),0)</f>
        <v>0</v>
      </c>
      <c r="S41" s="25">
        <f>IFERROR(VLOOKUP(A41,'[1]OMF By Acct. Backup'!A:L,12,FALSE),0)</f>
        <v>0</v>
      </c>
      <c r="T41" s="26">
        <f t="shared" si="8"/>
        <v>72000</v>
      </c>
      <c r="U41" s="25">
        <f>IFERROR(VLOOKUP(A41,'[1]OMF By Acct. Backup'!A:U,21,FALSE),0)</f>
        <v>61127</v>
      </c>
      <c r="V41" s="27">
        <f t="shared" si="0"/>
        <v>10873</v>
      </c>
      <c r="W41" s="23">
        <f t="shared" si="1"/>
        <v>0.17787557053347947</v>
      </c>
      <c r="X41" s="4"/>
      <c r="Y41" s="4"/>
    </row>
    <row r="42" spans="1:25" ht="12" customHeight="1" outlineLevel="1" x14ac:dyDescent="0.3">
      <c r="A42" s="18">
        <v>531231</v>
      </c>
      <c r="B42" s="43" t="s">
        <v>54</v>
      </c>
      <c r="C42" s="25">
        <f>IFERROR(VLOOKUP(A42,'[1]OMF By Acct. Backup'!A:C,3,FALSE),0)</f>
        <v>0</v>
      </c>
      <c r="D42" s="25">
        <f>IFERROR(VLOOKUP(A42,'[1]OMF By Acct. Backup'!A:E,5,FALSE),0)</f>
        <v>0</v>
      </c>
      <c r="E42" s="25">
        <f>IFERROR(VLOOKUP(A42,'[1]OMF By Acct. Backup'!A:F,6,FALSE),0)</f>
        <v>0</v>
      </c>
      <c r="F42" s="25">
        <f>IFERROR(VLOOKUP(A42,'[1]OMF By Acct. Backup'!A:J,10,FALSE),0)</f>
        <v>0</v>
      </c>
      <c r="G42" s="25">
        <f>IFERROR(VLOOKUP(A42,'[1]OMF By Acct. Backup'!A:M,13,FALSE),0)</f>
        <v>0</v>
      </c>
      <c r="H42" s="25">
        <f>IFERROR(VLOOKUP(A42,'[1]OMF By Acct. Backup'!A:N,14,FALSE),0)</f>
        <v>0</v>
      </c>
      <c r="I42" s="25">
        <f>IFERROR(VLOOKUP(A42,'[1]OMF By Acct. Backup'!A:P,16,FALSE),0)</f>
        <v>0</v>
      </c>
      <c r="J42" s="25">
        <f>IFERROR(VLOOKUP(A42,'[1]OMF By Acct. Backup'!A:G,7,FALSE),0)</f>
        <v>0</v>
      </c>
      <c r="K42" s="25">
        <f>IFERROR(VLOOKUP(A42,'[1]OMF By Acct. Backup'!A:I,9,FALSE),0)</f>
        <v>0</v>
      </c>
      <c r="L42" s="25">
        <f>IFERROR(VLOOKUP(A42,'[1]OMF By Acct. Backup'!A:R,18,FALSE),0)</f>
        <v>0</v>
      </c>
      <c r="M42" s="25">
        <f>IFERROR(VLOOKUP(A42,'[1]OMF By Acct. Backup'!A:S,19,FALSE),0)</f>
        <v>0</v>
      </c>
      <c r="N42" s="25">
        <f>IFERROR(VLOOKUP(A42,'[1]OMF By Acct. Backup'!A:H,8,FALSE),0)</f>
        <v>0</v>
      </c>
      <c r="O42" s="25">
        <f>IFERROR(VLOOKUP(A42,'[1]OMF By Acct. Backup'!A:K,11,FALSE),0)</f>
        <v>0</v>
      </c>
      <c r="P42" s="25">
        <f>IFERROR(VLOOKUP(A42,'[1]OMF By Acct. Backup'!A:D,4,FALSE),0)</f>
        <v>2900000</v>
      </c>
      <c r="Q42" s="25">
        <f>IFERROR(VLOOKUP(A42,'[1]OMF By Acct. Backup'!A:O,15,FALSE),0)</f>
        <v>0</v>
      </c>
      <c r="R42" s="25">
        <f>IFERROR(VLOOKUP(A42,'[1]OMF By Acct. Backup'!A:Q,17,FALSE),0)</f>
        <v>0</v>
      </c>
      <c r="S42" s="25">
        <f>IFERROR(VLOOKUP(A42,'[1]OMF By Acct. Backup'!A:L,12,FALSE),0)</f>
        <v>0</v>
      </c>
      <c r="T42" s="26">
        <f t="shared" si="8"/>
        <v>2900000</v>
      </c>
      <c r="U42" s="25">
        <f>IFERROR(VLOOKUP(A42,'[1]OMF By Acct. Backup'!A:U,21,FALSE),0)</f>
        <v>2900000</v>
      </c>
      <c r="V42" s="25">
        <f t="shared" si="0"/>
        <v>0</v>
      </c>
      <c r="W42" s="31">
        <v>0</v>
      </c>
      <c r="X42" s="4"/>
      <c r="Y42" s="4"/>
    </row>
    <row r="43" spans="1:25" ht="12" customHeight="1" outlineLevel="1" x14ac:dyDescent="0.3">
      <c r="A43" s="18">
        <v>531601</v>
      </c>
      <c r="B43" s="43" t="s">
        <v>55</v>
      </c>
      <c r="C43" s="25">
        <f>IFERROR(VLOOKUP(A43,'[1]OMF By Acct. Backup'!A:C,3,FALSE),0)</f>
        <v>0</v>
      </c>
      <c r="D43" s="25">
        <f>IFERROR(VLOOKUP(A43,'[1]OMF By Acct. Backup'!A:E,5,FALSE),0)</f>
        <v>0</v>
      </c>
      <c r="E43" s="25">
        <f>IFERROR(VLOOKUP(A43,'[1]OMF By Acct. Backup'!A:F,6,FALSE),0)</f>
        <v>0</v>
      </c>
      <c r="F43" s="25">
        <f>IFERROR(VLOOKUP(A43,'[1]OMF By Acct. Backup'!A:J,10,FALSE),0)</f>
        <v>0</v>
      </c>
      <c r="G43" s="25">
        <f>IFERROR(VLOOKUP(A43,'[1]OMF By Acct. Backup'!A:M,13,FALSE),0)</f>
        <v>0</v>
      </c>
      <c r="H43" s="25">
        <f>IFERROR(VLOOKUP(A43,'[1]OMF By Acct. Backup'!A:N,14,FALSE),0)</f>
        <v>0</v>
      </c>
      <c r="I43" s="25">
        <f>IFERROR(VLOOKUP(A43,'[1]OMF By Acct. Backup'!A:P,16,FALSE),0)</f>
        <v>0</v>
      </c>
      <c r="J43" s="25">
        <f>IFERROR(VLOOKUP(A43,'[1]OMF By Acct. Backup'!A:G,7,FALSE),0)</f>
        <v>0</v>
      </c>
      <c r="K43" s="25">
        <f>IFERROR(VLOOKUP(A43,'[1]OMF By Acct. Backup'!A:I,9,FALSE),0)</f>
        <v>0</v>
      </c>
      <c r="L43" s="25">
        <f>IFERROR(VLOOKUP(A43,'[1]OMF By Acct. Backup'!A:R,18,FALSE),0)</f>
        <v>0</v>
      </c>
      <c r="M43" s="25">
        <f>IFERROR(VLOOKUP(A43,'[1]OMF By Acct. Backup'!A:S,19,FALSE),0)</f>
        <v>0</v>
      </c>
      <c r="N43" s="25">
        <f>IFERROR(VLOOKUP(A43,'[1]OMF By Acct. Backup'!A:H,8,FALSE),0)</f>
        <v>0</v>
      </c>
      <c r="O43" s="25">
        <f>IFERROR(VLOOKUP(A43,'[1]OMF By Acct. Backup'!A:K,11,FALSE),0)</f>
        <v>0</v>
      </c>
      <c r="P43" s="25">
        <f>IFERROR(VLOOKUP(A43,'[1]OMF By Acct. Backup'!A:D,4,FALSE),0)</f>
        <v>287802</v>
      </c>
      <c r="Q43" s="25">
        <f>IFERROR(VLOOKUP(A43,'[1]OMF By Acct. Backup'!A:O,15,FALSE),0)</f>
        <v>0</v>
      </c>
      <c r="R43" s="25">
        <f>IFERROR(VLOOKUP(A43,'[1]OMF By Acct. Backup'!A:Q,17,FALSE),0)</f>
        <v>0</v>
      </c>
      <c r="S43" s="25">
        <f>IFERROR(VLOOKUP(A43,'[1]OMF By Acct. Backup'!A:L,12,FALSE),0)</f>
        <v>0</v>
      </c>
      <c r="T43" s="26">
        <f t="shared" si="8"/>
        <v>287802</v>
      </c>
      <c r="U43" s="25">
        <f>IFERROR(VLOOKUP(A43,'[1]OMF By Acct. Backup'!A:U,21,FALSE),0)</f>
        <v>214922</v>
      </c>
      <c r="V43" s="27">
        <f t="shared" si="0"/>
        <v>72880</v>
      </c>
      <c r="W43" s="23">
        <f t="shared" si="1"/>
        <v>0.33909976642688977</v>
      </c>
      <c r="X43" s="4"/>
      <c r="Y43" s="4"/>
    </row>
    <row r="44" spans="1:25" ht="12" customHeight="1" x14ac:dyDescent="0.3">
      <c r="A44" s="18">
        <v>531701</v>
      </c>
      <c r="B44" s="19" t="s">
        <v>56</v>
      </c>
      <c r="C44" s="25">
        <f>IFERROR(VLOOKUP(A44,'[1]OMF By Acct. Backup'!A:C,3,FALSE),0)</f>
        <v>0</v>
      </c>
      <c r="D44" s="25">
        <f>IFERROR(VLOOKUP(A44,'[1]OMF By Acct. Backup'!A:E,5,FALSE),0)</f>
        <v>0</v>
      </c>
      <c r="E44" s="25">
        <f>IFERROR(VLOOKUP(A44,'[1]OMF By Acct. Backup'!A:F,6,FALSE),0)</f>
        <v>0</v>
      </c>
      <c r="F44" s="25">
        <f>IFERROR(VLOOKUP(A44,'[1]OMF By Acct. Backup'!A:J,10,FALSE),0)</f>
        <v>0</v>
      </c>
      <c r="G44" s="25">
        <f>IFERROR(VLOOKUP(A44,'[1]OMF By Acct. Backup'!A:M,13,FALSE),0)</f>
        <v>0</v>
      </c>
      <c r="H44" s="25">
        <f>IFERROR(VLOOKUP(A44,'[1]OMF By Acct. Backup'!A:N,14,FALSE),0)</f>
        <v>0</v>
      </c>
      <c r="I44" s="25">
        <f>IFERROR(VLOOKUP(A44,'[1]OMF By Acct. Backup'!A:P,16,FALSE),0)</f>
        <v>0</v>
      </c>
      <c r="J44" s="25">
        <f>IFERROR(VLOOKUP(A44,'[1]OMF By Acct. Backup'!A:G,7,FALSE),0)</f>
        <v>0</v>
      </c>
      <c r="K44" s="25">
        <f>IFERROR(VLOOKUP(A44,'[1]OMF By Acct. Backup'!A:I,9,FALSE),0)</f>
        <v>0</v>
      </c>
      <c r="L44" s="25">
        <f>IFERROR(VLOOKUP(A44,'[1]OMF By Acct. Backup'!A:R,18,FALSE),0)</f>
        <v>0</v>
      </c>
      <c r="M44" s="25">
        <f>IFERROR(VLOOKUP(A44,'[1]OMF By Acct. Backup'!A:S,19,FALSE),0)</f>
        <v>0</v>
      </c>
      <c r="N44" s="25">
        <f>IFERROR(VLOOKUP(A44,'[1]OMF By Acct. Backup'!A:H,8,FALSE),0)</f>
        <v>43742</v>
      </c>
      <c r="O44" s="25">
        <f>IFERROR(VLOOKUP(A44,'[1]OMF By Acct. Backup'!A:K,11,FALSE),0)</f>
        <v>0</v>
      </c>
      <c r="P44" s="25">
        <f>IFERROR(VLOOKUP(A44,'[1]OMF By Acct. Backup'!A:D,4,FALSE),0)</f>
        <v>296000</v>
      </c>
      <c r="Q44" s="25">
        <f>IFERROR(VLOOKUP(A44,'[1]OMF By Acct. Backup'!A:O,15,FALSE),0)</f>
        <v>0</v>
      </c>
      <c r="R44" s="25">
        <f>IFERROR(VLOOKUP(A44,'[1]OMF By Acct. Backup'!A:Q,17,FALSE),0)</f>
        <v>0</v>
      </c>
      <c r="S44" s="25">
        <f>IFERROR(VLOOKUP(A44,'[1]OMF By Acct. Backup'!A:L,12,FALSE),0)</f>
        <v>114716</v>
      </c>
      <c r="T44" s="26">
        <f t="shared" si="8"/>
        <v>454458</v>
      </c>
      <c r="U44" s="25">
        <f>IFERROR(VLOOKUP(A44,'[1]OMF By Acct. Backup'!A:U,21,FALSE),0)</f>
        <v>382447</v>
      </c>
      <c r="V44" s="27">
        <f>T44-U44</f>
        <v>72011</v>
      </c>
      <c r="W44" s="23">
        <f t="shared" si="1"/>
        <v>0.18829014216348933</v>
      </c>
      <c r="X44" s="4"/>
      <c r="Y44" s="4"/>
    </row>
    <row r="45" spans="1:25" s="42" customFormat="1" ht="12" customHeight="1" x14ac:dyDescent="0.3">
      <c r="A45" s="41"/>
      <c r="B45" s="33" t="s">
        <v>15</v>
      </c>
      <c r="C45" s="34">
        <f>SUM(C33:C44)</f>
        <v>650</v>
      </c>
      <c r="D45" s="34">
        <f t="shared" ref="D45:T45" si="9">SUM(D33:D44)</f>
        <v>0</v>
      </c>
      <c r="E45" s="34">
        <f t="shared" si="9"/>
        <v>0</v>
      </c>
      <c r="F45" s="34">
        <f t="shared" si="9"/>
        <v>0</v>
      </c>
      <c r="G45" s="34">
        <f t="shared" si="9"/>
        <v>1055</v>
      </c>
      <c r="H45" s="34">
        <f t="shared" si="9"/>
        <v>0</v>
      </c>
      <c r="I45" s="34">
        <f t="shared" si="9"/>
        <v>0</v>
      </c>
      <c r="J45" s="34">
        <f>SUM(J33:J44)</f>
        <v>0</v>
      </c>
      <c r="K45" s="34">
        <f t="shared" si="9"/>
        <v>948</v>
      </c>
      <c r="L45" s="34">
        <f t="shared" si="9"/>
        <v>0</v>
      </c>
      <c r="M45" s="34">
        <f t="shared" si="9"/>
        <v>0</v>
      </c>
      <c r="N45" s="34">
        <f t="shared" si="9"/>
        <v>78942</v>
      </c>
      <c r="O45" s="34">
        <f t="shared" si="9"/>
        <v>11295500</v>
      </c>
      <c r="P45" s="34">
        <f t="shared" si="9"/>
        <v>49199602.880000003</v>
      </c>
      <c r="Q45" s="34">
        <f t="shared" si="9"/>
        <v>300</v>
      </c>
      <c r="R45" s="34">
        <f>SUM(R34:R44)</f>
        <v>667</v>
      </c>
      <c r="S45" s="34">
        <f t="shared" si="9"/>
        <v>380284.05</v>
      </c>
      <c r="T45" s="34">
        <f t="shared" si="9"/>
        <v>60957948.93</v>
      </c>
      <c r="U45" s="34">
        <f>SUM(U33:U44)</f>
        <v>57576849.479999997</v>
      </c>
      <c r="V45" s="34">
        <f t="shared" ref="V45" si="10">SUM(V33:V44)</f>
        <v>3381099.45</v>
      </c>
      <c r="W45" s="36">
        <f t="shared" si="1"/>
        <v>5.8723245202474399E-2</v>
      </c>
      <c r="X45" s="4"/>
      <c r="Y45" s="4"/>
    </row>
    <row r="46" spans="1:25" ht="12" customHeight="1" x14ac:dyDescent="0.3">
      <c r="A46" s="18">
        <v>523201</v>
      </c>
      <c r="B46" s="19" t="s">
        <v>57</v>
      </c>
      <c r="C46" s="25">
        <f>IFERROR(VLOOKUP(A46,'[1]OMF By Acct. Backup'!A:C,3,FALSE),0)</f>
        <v>0</v>
      </c>
      <c r="D46" s="25">
        <f>IFERROR(VLOOKUP(A46,'[1]OMF By Acct. Backup'!A:E,5,FALSE),0)</f>
        <v>0</v>
      </c>
      <c r="E46" s="25">
        <f>IFERROR(VLOOKUP(A46,'[1]OMF By Acct. Backup'!A:F,6,FALSE),0)</f>
        <v>0</v>
      </c>
      <c r="F46" s="25">
        <f>IFERROR(VLOOKUP(A46,'[1]OMF By Acct. Backup'!A:J,10,FALSE),0)</f>
        <v>0</v>
      </c>
      <c r="G46" s="25">
        <f>IFERROR(VLOOKUP(A46,'[1]OMF By Acct. Backup'!A:M,13,FALSE),0)</f>
        <v>0</v>
      </c>
      <c r="H46" s="25">
        <f>IFERROR(VLOOKUP(A46,'[1]OMF By Acct. Backup'!A:N,14,FALSE),0)</f>
        <v>0</v>
      </c>
      <c r="I46" s="25">
        <f>IFERROR(VLOOKUP(A46,'[1]OMF By Acct. Backup'!A:P,16,FALSE),0)</f>
        <v>0</v>
      </c>
      <c r="J46" s="25">
        <f>IFERROR(VLOOKUP(A46,'[1]OMF By Acct. Backup'!A:G,7,FALSE),0)</f>
        <v>0</v>
      </c>
      <c r="K46" s="25">
        <f>IFERROR(VLOOKUP(A46,'[1]OMF By Acct. Backup'!A:I,9,FALSE),0)</f>
        <v>0</v>
      </c>
      <c r="L46" s="25">
        <f>IFERROR(VLOOKUP(A46,'[1]OMF By Acct. Backup'!A:R,18,FALSE),0)</f>
        <v>0</v>
      </c>
      <c r="M46" s="25">
        <f>IFERROR(VLOOKUP(A46,'[1]OMF By Acct. Backup'!A:S,19,FALSE),0)</f>
        <v>0</v>
      </c>
      <c r="N46" s="25">
        <v>19100000</v>
      </c>
      <c r="O46" s="25">
        <f>IFERROR(VLOOKUP(A46,'[1]OMF By Acct. Backup'!A:K,11,FALSE),0)</f>
        <v>0</v>
      </c>
      <c r="P46" s="25">
        <f>IFERROR(VLOOKUP(A46,'[1]OMF By Acct. Backup'!A:D,4,FALSE),0)</f>
        <v>0</v>
      </c>
      <c r="Q46" s="25">
        <f>IFERROR(VLOOKUP(A46,'[1]OMF By Acct. Backup'!A:O,15,FALSE),0)</f>
        <v>0</v>
      </c>
      <c r="R46" s="25">
        <f>IFERROR(VLOOKUP(A46,'[1]OMF By Acct. Backup'!A:Q,17,FALSE),0)</f>
        <v>0</v>
      </c>
      <c r="S46" s="25">
        <f>IFERROR(VLOOKUP(A46,'[1]OMF By Acct. Backup'!A:L,12,FALSE),0)</f>
        <v>0</v>
      </c>
      <c r="T46" s="26">
        <f t="shared" ref="T46:T52" si="11">SUM(C46:S46)</f>
        <v>19100000</v>
      </c>
      <c r="U46" s="25">
        <f>IFERROR(VLOOKUP(A46,'[1]OMF By Acct. Backup'!A:U,21,FALSE),0)</f>
        <v>18279249</v>
      </c>
      <c r="V46" s="26">
        <f t="shared" ref="V46:V52" si="12">T46-U46</f>
        <v>820751</v>
      </c>
      <c r="W46" s="23">
        <f t="shared" si="1"/>
        <v>4.4900695865568656E-2</v>
      </c>
      <c r="X46" s="4"/>
      <c r="Y46" s="4"/>
    </row>
    <row r="47" spans="1:25" ht="12" customHeight="1" x14ac:dyDescent="0.3">
      <c r="A47" s="18">
        <v>523202</v>
      </c>
      <c r="B47" s="40" t="s">
        <v>58</v>
      </c>
      <c r="C47" s="25">
        <f>IFERROR(VLOOKUP(A47,'[1]OMF By Acct. Backup'!A:C,3,FALSE),0)</f>
        <v>0</v>
      </c>
      <c r="D47" s="25">
        <f>IFERROR(VLOOKUP(A47,'[1]OMF By Acct. Backup'!A:E,5,FALSE),0)</f>
        <v>0</v>
      </c>
      <c r="E47" s="25">
        <f>IFERROR(VLOOKUP(A47,'[1]OMF By Acct. Backup'!A:F,6,FALSE),0)</f>
        <v>0</v>
      </c>
      <c r="F47" s="25">
        <f>IFERROR(VLOOKUP(A47,'[1]OMF By Acct. Backup'!A:J,10,FALSE),0)</f>
        <v>0</v>
      </c>
      <c r="G47" s="25">
        <f>IFERROR(VLOOKUP(A47,'[1]OMF By Acct. Backup'!A:M,13,FALSE),0)</f>
        <v>0</v>
      </c>
      <c r="H47" s="25">
        <f>IFERROR(VLOOKUP(A47,'[1]OMF By Acct. Backup'!A:N,14,FALSE),0)</f>
        <v>0</v>
      </c>
      <c r="I47" s="25">
        <f>IFERROR(VLOOKUP(A47,'[1]OMF By Acct. Backup'!A:P,16,FALSE),0)</f>
        <v>0</v>
      </c>
      <c r="J47" s="25">
        <f>IFERROR(VLOOKUP(A47,'[1]OMF By Acct. Backup'!A:G,7,FALSE),0)</f>
        <v>0</v>
      </c>
      <c r="K47" s="25">
        <f>IFERROR(VLOOKUP(A47,'[1]OMF By Acct. Backup'!A:I,9,FALSE),0)</f>
        <v>0</v>
      </c>
      <c r="L47" s="25">
        <f>IFERROR(VLOOKUP(A47,'[1]OMF By Acct. Backup'!A:R,18,FALSE),0)</f>
        <v>0</v>
      </c>
      <c r="M47" s="25">
        <f>IFERROR(VLOOKUP(A47,'[1]OMF By Acct. Backup'!A:S,19,FALSE),0)</f>
        <v>0</v>
      </c>
      <c r="N47" s="25">
        <f>IFERROR(VLOOKUP(A47,'[1]OMF By Acct. Backup'!A:H,8,FALSE),0)</f>
        <v>0</v>
      </c>
      <c r="O47" s="25">
        <f>IFERROR(VLOOKUP(A47,'[1]OMF By Acct. Backup'!A:K,11,FALSE),0)</f>
        <v>1500000</v>
      </c>
      <c r="P47" s="25">
        <f>IFERROR(VLOOKUP(A47,'[1]OMF By Acct. Backup'!A:D,4,FALSE),0)</f>
        <v>285000</v>
      </c>
      <c r="Q47" s="25">
        <f>IFERROR(VLOOKUP(A47,'[1]OMF By Acct. Backup'!A:O,15,FALSE),0)</f>
        <v>0</v>
      </c>
      <c r="R47" s="25">
        <f>IFERROR(VLOOKUP(A47,'[1]OMF By Acct. Backup'!A:Q,17,FALSE),0)</f>
        <v>0</v>
      </c>
      <c r="S47" s="25">
        <f>IFERROR(VLOOKUP(A47,'[1]OMF By Acct. Backup'!A:L,12,FALSE),0)</f>
        <v>0</v>
      </c>
      <c r="T47" s="26">
        <f t="shared" si="11"/>
        <v>1785000</v>
      </c>
      <c r="U47" s="25">
        <f>IFERROR(VLOOKUP(A47,'[1]OMF By Acct. Backup'!A:U,21,FALSE),0)</f>
        <v>2000000</v>
      </c>
      <c r="V47" s="27">
        <f t="shared" si="12"/>
        <v>-215000</v>
      </c>
      <c r="W47" s="23">
        <f t="shared" si="1"/>
        <v>-0.1075</v>
      </c>
      <c r="X47" s="4"/>
      <c r="Y47" s="4"/>
    </row>
    <row r="48" spans="1:25" ht="12" customHeight="1" x14ac:dyDescent="0.3">
      <c r="A48" s="18">
        <v>523701</v>
      </c>
      <c r="B48" s="19" t="s">
        <v>59</v>
      </c>
      <c r="C48" s="25">
        <f>IFERROR(VLOOKUP(A48,'[1]OMF By Acct. Backup'!A:C,3,FALSE),0)</f>
        <v>5000</v>
      </c>
      <c r="D48" s="25">
        <f>IFERROR(VLOOKUP(A48,'[1]OMF By Acct. Backup'!A:E,5,FALSE),0)</f>
        <v>2628</v>
      </c>
      <c r="E48" s="25">
        <f>IFERROR(VLOOKUP(A48,'[1]OMF By Acct. Backup'!A:F,6,FALSE),0)</f>
        <v>0</v>
      </c>
      <c r="F48" s="25">
        <f>IFERROR(VLOOKUP(A48,'[1]OMF By Acct. Backup'!A:J,10,FALSE),0)</f>
        <v>68500</v>
      </c>
      <c r="G48" s="25">
        <f>IFERROR(VLOOKUP(A48,'[1]OMF By Acct. Backup'!A:M,13,FALSE),0)</f>
        <v>16000</v>
      </c>
      <c r="H48" s="25">
        <f>IFERROR(VLOOKUP(A48,'[1]OMF By Acct. Backup'!A:N,14,FALSE),0)</f>
        <v>6846</v>
      </c>
      <c r="I48" s="25">
        <f>IFERROR(VLOOKUP(A48,'[1]OMF By Acct. Backup'!A:P,16,FALSE),0)</f>
        <v>15000</v>
      </c>
      <c r="J48" s="25">
        <f>IFERROR(VLOOKUP(A48,'[1]OMF By Acct. Backup'!A:G,7,FALSE),0)</f>
        <v>2844</v>
      </c>
      <c r="K48" s="25">
        <f>IFERROR(VLOOKUP(A48,'[1]OMF By Acct. Backup'!A:I,9,FALSE),0)</f>
        <v>11454</v>
      </c>
      <c r="L48" s="25">
        <f>IFERROR(VLOOKUP(A48,'[1]OMF By Acct. Backup'!A:R,18,FALSE),0)</f>
        <v>0</v>
      </c>
      <c r="M48" s="25">
        <v>3090</v>
      </c>
      <c r="N48" s="25">
        <f>IFERROR(VLOOKUP(A48,'[1]OMF By Acct. Backup'!A:H,8,FALSE),0)</f>
        <v>39900</v>
      </c>
      <c r="O48" s="25">
        <f>IFERROR(VLOOKUP(A48,'[1]OMF By Acct. Backup'!A:K,11,FALSE),0)</f>
        <v>86000</v>
      </c>
      <c r="P48" s="25">
        <f>IFERROR(VLOOKUP(A48,'[1]OMF By Acct. Backup'!A:D,4,FALSE),0)</f>
        <v>104065</v>
      </c>
      <c r="Q48" s="25">
        <f>IFERROR(VLOOKUP(A48,'[1]OMF By Acct. Backup'!A:O,15,FALSE),0)</f>
        <v>23500</v>
      </c>
      <c r="R48" s="25">
        <f>IFERROR(VLOOKUP(A48,'[1]OMF By Acct. Backup'!A:Q,17,FALSE),0)</f>
        <v>10486</v>
      </c>
      <c r="S48" s="25">
        <f>IFERROR(VLOOKUP(A48,'[1]OMF By Acct. Backup'!A:L,12,FALSE),0)</f>
        <v>36708</v>
      </c>
      <c r="T48" s="26">
        <f t="shared" si="11"/>
        <v>432021</v>
      </c>
      <c r="U48" s="25">
        <f>IFERROR(VLOOKUP(A48,'[1]OMF By Acct. Backup'!A:U,21,FALSE),0)</f>
        <v>371644.52</v>
      </c>
      <c r="V48" s="27">
        <f t="shared" si="12"/>
        <v>60376.479999999981</v>
      </c>
      <c r="W48" s="23">
        <f t="shared" si="1"/>
        <v>0.16245760868477216</v>
      </c>
      <c r="X48" s="4"/>
      <c r="Y48" s="4"/>
    </row>
    <row r="49" spans="1:25" ht="12" customHeight="1" x14ac:dyDescent="0.3">
      <c r="A49" s="18">
        <v>531103</v>
      </c>
      <c r="B49" s="19" t="s">
        <v>60</v>
      </c>
      <c r="C49" s="25">
        <f>IFERROR(VLOOKUP(A49,'[1]OMF By Acct. Backup'!A:C,3,FALSE),0)</f>
        <v>0</v>
      </c>
      <c r="D49" s="25">
        <f>IFERROR(VLOOKUP(A49,'[1]OMF By Acct. Backup'!A:E,5,FALSE),0)</f>
        <v>0</v>
      </c>
      <c r="E49" s="25">
        <f>IFERROR(VLOOKUP(A49,'[1]OMF By Acct. Backup'!A:F,6,FALSE),0)</f>
        <v>0</v>
      </c>
      <c r="F49" s="25">
        <f>IFERROR(VLOOKUP(A49,'[1]OMF By Acct. Backup'!A:J,10,FALSE),0)</f>
        <v>0</v>
      </c>
      <c r="G49" s="25">
        <f>IFERROR(VLOOKUP(A49,'[1]OMF By Acct. Backup'!A:M,13,FALSE),0)</f>
        <v>0</v>
      </c>
      <c r="H49" s="25">
        <f>IFERROR(VLOOKUP(A49,'[1]OMF By Acct. Backup'!A:N,14,FALSE),0)</f>
        <v>0</v>
      </c>
      <c r="I49" s="25">
        <f>IFERROR(VLOOKUP(A49,'[1]OMF By Acct. Backup'!A:P,16,FALSE),0)</f>
        <v>0</v>
      </c>
      <c r="J49" s="25">
        <f>IFERROR(VLOOKUP(A49,'[1]OMF By Acct. Backup'!A:G,7,FALSE),0)</f>
        <v>0</v>
      </c>
      <c r="K49" s="25">
        <f>IFERROR(VLOOKUP(A49,'[1]OMF By Acct. Backup'!A:I,9,FALSE),0)</f>
        <v>0</v>
      </c>
      <c r="L49" s="25">
        <f>IFERROR(VLOOKUP(A49,'[1]OMF By Acct. Backup'!A:R,18,FALSE),0)</f>
        <v>0</v>
      </c>
      <c r="M49" s="25">
        <f>IFERROR(VLOOKUP(A49,'[1]OMF By Acct. Backup'!A:S,19,FALSE),0)</f>
        <v>0</v>
      </c>
      <c r="N49" s="25">
        <f>IFERROR(VLOOKUP(A49,'[1]OMF By Acct. Backup'!A:H,8,FALSE),0)</f>
        <v>0</v>
      </c>
      <c r="O49" s="25">
        <f>IFERROR(VLOOKUP(A49,'[1]OMF By Acct. Backup'!A:K,11,FALSE),0)</f>
        <v>0</v>
      </c>
      <c r="P49" s="25">
        <f>IFERROR(VLOOKUP(A49,'[1]OMF By Acct. Backup'!A:D,4,FALSE),0)</f>
        <v>2020000</v>
      </c>
      <c r="Q49" s="25">
        <f>IFERROR(VLOOKUP(A49,'[1]OMF By Acct. Backup'!A:O,15,FALSE),0)</f>
        <v>0</v>
      </c>
      <c r="R49" s="25">
        <f>IFERROR(VLOOKUP(A49,'[1]OMF By Acct. Backup'!A:Q,17,FALSE),0)</f>
        <v>0</v>
      </c>
      <c r="S49" s="25">
        <f>IFERROR(VLOOKUP(A49,'[1]OMF By Acct. Backup'!A:L,12,FALSE),0)</f>
        <v>0</v>
      </c>
      <c r="T49" s="26">
        <f t="shared" si="11"/>
        <v>2020000</v>
      </c>
      <c r="U49" s="25">
        <f>IFERROR(VLOOKUP(A49,'[1]OMF By Acct. Backup'!A:U,21,FALSE),0)</f>
        <v>1479285</v>
      </c>
      <c r="V49" s="27">
        <f t="shared" si="12"/>
        <v>540715</v>
      </c>
      <c r="W49" s="23">
        <f t="shared" si="1"/>
        <v>0.36552456085203322</v>
      </c>
      <c r="X49" s="4"/>
      <c r="Y49" s="4"/>
    </row>
    <row r="50" spans="1:25" ht="12" customHeight="1" x14ac:dyDescent="0.3">
      <c r="A50" s="18">
        <v>531501</v>
      </c>
      <c r="B50" s="19" t="s">
        <v>61</v>
      </c>
      <c r="C50" s="25">
        <f>IFERROR(VLOOKUP(A50,'[1]OMF By Acct. Backup'!A:C,3,FALSE),0)</f>
        <v>0</v>
      </c>
      <c r="D50" s="25">
        <f>IFERROR(VLOOKUP(A50,'[1]OMF By Acct. Backup'!A:E,5,FALSE),0)</f>
        <v>0</v>
      </c>
      <c r="E50" s="25">
        <f>IFERROR(VLOOKUP(A50,'[1]OMF By Acct. Backup'!A:F,6,FALSE),0)</f>
        <v>0</v>
      </c>
      <c r="F50" s="25">
        <f>IFERROR(VLOOKUP(A50,'[1]OMF By Acct. Backup'!A:J,10,FALSE),0)</f>
        <v>0</v>
      </c>
      <c r="G50" s="25">
        <f>IFERROR(VLOOKUP(A50,'[1]OMF By Acct. Backup'!A:M,13,FALSE),0)</f>
        <v>0</v>
      </c>
      <c r="H50" s="25">
        <f>IFERROR(VLOOKUP(A50,'[1]OMF By Acct. Backup'!A:N,14,FALSE),0)</f>
        <v>0</v>
      </c>
      <c r="I50" s="25">
        <f>IFERROR(VLOOKUP(A50,'[1]OMF By Acct. Backup'!A:P,16,FALSE),0)</f>
        <v>0</v>
      </c>
      <c r="J50" s="25">
        <f>IFERROR(VLOOKUP(A50,'[1]OMF By Acct. Backup'!A:G,7,FALSE),0)</f>
        <v>0</v>
      </c>
      <c r="K50" s="25">
        <f>IFERROR(VLOOKUP(A50,'[1]OMF By Acct. Backup'!A:I,9,FALSE),0)</f>
        <v>0</v>
      </c>
      <c r="L50" s="25">
        <f>IFERROR(VLOOKUP(A50,'[1]OMF By Acct. Backup'!A:R,18,FALSE),0)</f>
        <v>0</v>
      </c>
      <c r="M50" s="25">
        <f>IFERROR(VLOOKUP(A50,'[1]OMF By Acct. Backup'!A:S,19,FALSE),0)</f>
        <v>0</v>
      </c>
      <c r="N50" s="25">
        <f>IFERROR(VLOOKUP(A50,'[1]OMF By Acct. Backup'!A:H,8,FALSE),0)</f>
        <v>1750000</v>
      </c>
      <c r="O50" s="25">
        <f>IFERROR(VLOOKUP(A50,'[1]OMF By Acct. Backup'!A:K,11,FALSE),0)</f>
        <v>0</v>
      </c>
      <c r="P50" s="25">
        <f>IFERROR(VLOOKUP(A50,'[1]OMF By Acct. Backup'!A:D,4,FALSE),0)</f>
        <v>0</v>
      </c>
      <c r="Q50" s="25">
        <f>IFERROR(VLOOKUP(A50,'[1]OMF By Acct. Backup'!A:O,15,FALSE),0)</f>
        <v>0</v>
      </c>
      <c r="R50" s="25">
        <f>IFERROR(VLOOKUP(A50,'[1]OMF By Acct. Backup'!A:Q,17,FALSE),0)</f>
        <v>0</v>
      </c>
      <c r="S50" s="25">
        <f>IFERROR(VLOOKUP(A50,'[1]OMF By Acct. Backup'!A:L,12,FALSE),0)</f>
        <v>0</v>
      </c>
      <c r="T50" s="26">
        <f t="shared" si="11"/>
        <v>1750000</v>
      </c>
      <c r="U50" s="25">
        <f>IFERROR(VLOOKUP(A50,'[1]OMF By Acct. Backup'!A:U,21,FALSE),0)</f>
        <v>1500000</v>
      </c>
      <c r="V50" s="27">
        <f t="shared" si="12"/>
        <v>250000</v>
      </c>
      <c r="W50" s="23">
        <f t="shared" si="1"/>
        <v>0.16666666666666666</v>
      </c>
      <c r="X50" s="4"/>
      <c r="Y50" s="4"/>
    </row>
    <row r="51" spans="1:25" ht="12" customHeight="1" x14ac:dyDescent="0.3">
      <c r="A51" s="18">
        <v>531651</v>
      </c>
      <c r="B51" s="43" t="s">
        <v>62</v>
      </c>
      <c r="C51" s="25">
        <f>IFERROR(VLOOKUP(A51,'[1]OMF By Acct. Backup'!A:C,3,FALSE),0)</f>
        <v>0</v>
      </c>
      <c r="D51" s="25">
        <f>IFERROR(VLOOKUP(A51,'[1]OMF By Acct. Backup'!A:E,5,FALSE),0)</f>
        <v>0</v>
      </c>
      <c r="E51" s="25">
        <f>IFERROR(VLOOKUP(A51,'[1]OMF By Acct. Backup'!A:F,6,FALSE),0)</f>
        <v>0</v>
      </c>
      <c r="F51" s="25">
        <f>IFERROR(VLOOKUP(A51,'[1]OMF By Acct. Backup'!A:J,10,FALSE),0)</f>
        <v>0</v>
      </c>
      <c r="G51" s="25">
        <f>IFERROR(VLOOKUP(A51,'[1]OMF By Acct. Backup'!A:M,13,FALSE),0)</f>
        <v>0</v>
      </c>
      <c r="H51" s="25">
        <v>121495</v>
      </c>
      <c r="I51" s="25">
        <f>IFERROR(VLOOKUP(A51,'[1]OMF By Acct. Backup'!A:P,16,FALSE),0)</f>
        <v>0</v>
      </c>
      <c r="J51" s="25">
        <f>IFERROR(VLOOKUP(A51,'[1]OMF By Acct. Backup'!A:G,7,FALSE),0)</f>
        <v>0</v>
      </c>
      <c r="K51" s="25">
        <f>IFERROR(VLOOKUP(A51,'[1]OMF By Acct. Backup'!A:I,9,FALSE),0)</f>
        <v>0</v>
      </c>
      <c r="L51" s="25">
        <f>IFERROR(VLOOKUP(A51,'[1]OMF By Acct. Backup'!A:R,18,FALSE),0)</f>
        <v>0</v>
      </c>
      <c r="M51" s="25">
        <f>IFERROR(VLOOKUP(A51,'[1]OMF By Acct. Backup'!A:S,19,FALSE),0)</f>
        <v>0</v>
      </c>
      <c r="N51" s="25">
        <f>IFERROR(VLOOKUP(A51,'[1]OMF By Acct. Backup'!A:H,8,FALSE),0)</f>
        <v>0</v>
      </c>
      <c r="O51" s="25">
        <f>IFERROR(VLOOKUP(A51,'[1]OMF By Acct. Backup'!A:K,11,FALSE),0)</f>
        <v>12884700</v>
      </c>
      <c r="P51" s="25">
        <f>IFERROR(VLOOKUP(A51,'[1]OMF By Acct. Backup'!A:D,4,FALSE),0)</f>
        <v>54136</v>
      </c>
      <c r="Q51" s="25">
        <f>IFERROR(VLOOKUP(A51,'[1]OMF By Acct. Backup'!A:O,15,FALSE),0)</f>
        <v>0</v>
      </c>
      <c r="R51" s="25">
        <f>IFERROR(VLOOKUP(A51,'[1]OMF By Acct. Backup'!A:Q,17,FALSE),0)</f>
        <v>0</v>
      </c>
      <c r="S51" s="25">
        <f>IFERROR(VLOOKUP(A51,'[1]OMF By Acct. Backup'!A:L,12,FALSE),0)</f>
        <v>0</v>
      </c>
      <c r="T51" s="26">
        <f t="shared" si="11"/>
        <v>13060331</v>
      </c>
      <c r="U51" s="25">
        <f>IFERROR(VLOOKUP(A51,'[1]OMF By Acct. Backup'!A:U,21,FALSE),0)</f>
        <v>11984813</v>
      </c>
      <c r="V51" s="27">
        <f t="shared" si="12"/>
        <v>1075518</v>
      </c>
      <c r="W51" s="23">
        <f t="shared" si="1"/>
        <v>8.9740073541406118E-2</v>
      </c>
      <c r="X51" s="4"/>
      <c r="Y51" s="4"/>
    </row>
    <row r="52" spans="1:25" ht="12" customHeight="1" x14ac:dyDescent="0.3">
      <c r="A52" s="18">
        <v>573002</v>
      </c>
      <c r="B52" s="40" t="s">
        <v>63</v>
      </c>
      <c r="C52" s="25">
        <f>IFERROR(VLOOKUP(A52,'[1]OMF By Acct. Backup'!A:C,3,FALSE),0)</f>
        <v>0</v>
      </c>
      <c r="D52" s="25">
        <f>IFERROR(VLOOKUP(A52,'[1]OMF By Acct. Backup'!A:E,5,FALSE),0)</f>
        <v>0</v>
      </c>
      <c r="E52" s="25">
        <f>IFERROR(VLOOKUP(A52,'[1]OMF By Acct. Backup'!A:F,6,FALSE),0)</f>
        <v>0</v>
      </c>
      <c r="F52" s="25">
        <f>IFERROR(VLOOKUP(A52,'[1]OMF By Acct. Backup'!A:J,10,FALSE),0)</f>
        <v>0</v>
      </c>
      <c r="G52" s="25">
        <f>IFERROR(VLOOKUP(A52,'[1]OMF By Acct. Backup'!A:M,13,FALSE),0)</f>
        <v>0</v>
      </c>
      <c r="H52" s="25">
        <f>IFERROR(VLOOKUP(A52,'[1]OMF By Acct. Backup'!A:N,14,FALSE),0)</f>
        <v>0</v>
      </c>
      <c r="I52" s="25">
        <f>IFERROR(VLOOKUP(A52,'[1]OMF By Acct. Backup'!A:P,16,FALSE),0)</f>
        <v>0</v>
      </c>
      <c r="J52" s="25">
        <f>IFERROR(VLOOKUP(A52,'[1]OMF By Acct. Backup'!A:G,7,FALSE),0)</f>
        <v>0</v>
      </c>
      <c r="K52" s="25">
        <f>IFERROR(VLOOKUP(A52,'[1]OMF By Acct. Backup'!A:I,9,FALSE),0)</f>
        <v>0</v>
      </c>
      <c r="L52" s="25">
        <f>IFERROR(VLOOKUP(A52,'[1]OMF By Acct. Backup'!A:R,18,FALSE),0)</f>
        <v>0</v>
      </c>
      <c r="M52" s="25">
        <f>IFERROR(VLOOKUP(A52,'[1]OMF By Acct. Backup'!A:S,19,FALSE),0)</f>
        <v>0</v>
      </c>
      <c r="N52" s="25">
        <v>41500000</v>
      </c>
      <c r="O52" s="25">
        <f>IFERROR(VLOOKUP(A52,'[1]OMF By Acct. Backup'!A:K,11,FALSE),0)</f>
        <v>0</v>
      </c>
      <c r="P52" s="25">
        <f>IFERROR(VLOOKUP(A52,'[1]OMF By Acct. Backup'!A:D,4,FALSE),0)</f>
        <v>0</v>
      </c>
      <c r="Q52" s="25">
        <f>IFERROR(VLOOKUP(A52,'[1]OMF By Acct. Backup'!A:O,15,FALSE),0)</f>
        <v>0</v>
      </c>
      <c r="R52" s="25">
        <f>IFERROR(VLOOKUP(A52,'[1]OMF By Acct. Backup'!A:Q,17,FALSE),0)</f>
        <v>0</v>
      </c>
      <c r="S52" s="25">
        <f>IFERROR(VLOOKUP(A52,'[1]OMF By Acct. Backup'!A:L,12,FALSE),0)</f>
        <v>0</v>
      </c>
      <c r="T52" s="26">
        <f t="shared" si="11"/>
        <v>41500000</v>
      </c>
      <c r="U52" s="25">
        <f>IFERROR(VLOOKUP(A52,'[1]OMF By Acct. Backup'!A:U,21,FALSE),0)</f>
        <v>38250000</v>
      </c>
      <c r="V52" s="27">
        <f t="shared" si="12"/>
        <v>3250000</v>
      </c>
      <c r="W52" s="23">
        <f t="shared" si="1"/>
        <v>8.4967320261437912E-2</v>
      </c>
      <c r="X52" s="4"/>
      <c r="Y52" s="4"/>
    </row>
    <row r="53" spans="1:25" s="42" customFormat="1" ht="12" customHeight="1" x14ac:dyDescent="0.3">
      <c r="A53" s="41"/>
      <c r="B53" s="33" t="s">
        <v>16</v>
      </c>
      <c r="C53" s="34">
        <f>SUM(C46:C52)</f>
        <v>5000</v>
      </c>
      <c r="D53" s="34">
        <f t="shared" ref="D53:V53" si="13">SUM(D46:D52)</f>
        <v>2628</v>
      </c>
      <c r="E53" s="34">
        <f t="shared" si="13"/>
        <v>0</v>
      </c>
      <c r="F53" s="34">
        <f t="shared" si="13"/>
        <v>68500</v>
      </c>
      <c r="G53" s="34">
        <f t="shared" si="13"/>
        <v>16000</v>
      </c>
      <c r="H53" s="34">
        <f t="shared" si="13"/>
        <v>128341</v>
      </c>
      <c r="I53" s="34">
        <f t="shared" si="13"/>
        <v>15000</v>
      </c>
      <c r="J53" s="34">
        <f>SUM(J46:J52)</f>
        <v>2844</v>
      </c>
      <c r="K53" s="34">
        <f t="shared" si="13"/>
        <v>11454</v>
      </c>
      <c r="L53" s="34">
        <f t="shared" si="13"/>
        <v>0</v>
      </c>
      <c r="M53" s="34">
        <f t="shared" si="13"/>
        <v>3090</v>
      </c>
      <c r="N53" s="34">
        <f t="shared" si="13"/>
        <v>62389900</v>
      </c>
      <c r="O53" s="34">
        <f t="shared" si="13"/>
        <v>14470700</v>
      </c>
      <c r="P53" s="34">
        <f t="shared" si="13"/>
        <v>2463201</v>
      </c>
      <c r="Q53" s="34">
        <f t="shared" si="13"/>
        <v>23500</v>
      </c>
      <c r="R53" s="34">
        <f t="shared" si="13"/>
        <v>10486</v>
      </c>
      <c r="S53" s="34">
        <f t="shared" si="13"/>
        <v>36708</v>
      </c>
      <c r="T53" s="34">
        <f t="shared" si="13"/>
        <v>79647352</v>
      </c>
      <c r="U53" s="34">
        <f t="shared" si="13"/>
        <v>73864991.519999996</v>
      </c>
      <c r="V53" s="34">
        <f t="shared" si="13"/>
        <v>5782360.4800000004</v>
      </c>
      <c r="W53" s="36">
        <f t="shared" si="1"/>
        <v>7.8282828725897091E-2</v>
      </c>
      <c r="X53" s="4"/>
      <c r="Y53" s="4"/>
    </row>
    <row r="54" spans="1:25" ht="12" customHeight="1" x14ac:dyDescent="0.3">
      <c r="A54" s="18">
        <v>523203</v>
      </c>
      <c r="B54" s="43" t="s">
        <v>64</v>
      </c>
      <c r="C54" s="25">
        <f>IFERROR(VLOOKUP(A54,'[1]OMF By Acct. Backup'!A:C,3,FALSE),0)</f>
        <v>0</v>
      </c>
      <c r="D54" s="25">
        <f>IFERROR(VLOOKUP(A54,'[1]OMF By Acct. Backup'!A:E,5,FALSE),0)</f>
        <v>0</v>
      </c>
      <c r="E54" s="25">
        <f>IFERROR(VLOOKUP(A54,'[1]OMF By Acct. Backup'!A:F,6,FALSE),0)</f>
        <v>0</v>
      </c>
      <c r="F54" s="25">
        <f>IFERROR(VLOOKUP(A54,'[1]OMF By Acct. Backup'!A:J,10,FALSE),0)</f>
        <v>0</v>
      </c>
      <c r="G54" s="25">
        <f>IFERROR(VLOOKUP(A54,'[1]OMF By Acct. Backup'!A:M,13,FALSE),0)</f>
        <v>0</v>
      </c>
      <c r="H54" s="25">
        <f>IFERROR(VLOOKUP(A54,'[1]OMF By Acct. Backup'!A:N,14,FALSE),0)</f>
        <v>0</v>
      </c>
      <c r="I54" s="25">
        <f>IFERROR(VLOOKUP(A54,'[1]OMF By Acct. Backup'!A:P,16,FALSE),0)</f>
        <v>13369</v>
      </c>
      <c r="J54" s="25">
        <f>IFERROR(VLOOKUP(A54,'[1]OMF By Acct. Backup'!A:G,7,FALSE),0)</f>
        <v>0</v>
      </c>
      <c r="K54" s="25">
        <f>IFERROR(VLOOKUP(A54,'[1]OMF By Acct. Backup'!A:I,9,FALSE),0)</f>
        <v>0</v>
      </c>
      <c r="L54" s="25">
        <f>IFERROR(VLOOKUP(A54,'[1]OMF By Acct. Backup'!A:R,18,FALSE),0)</f>
        <v>0</v>
      </c>
      <c r="M54" s="25">
        <f>IFERROR(VLOOKUP(A54,'[1]OMF By Acct. Backup'!A:S,19,FALSE),0)</f>
        <v>0</v>
      </c>
      <c r="N54" s="25">
        <f>IFERROR(VLOOKUP(A54,'[1]OMF By Acct. Backup'!A:H,8,FALSE),0)</f>
        <v>0</v>
      </c>
      <c r="O54" s="25">
        <f>IFERROR(VLOOKUP(A54,'[1]OMF By Acct. Backup'!A:K,11,FALSE),0)</f>
        <v>0</v>
      </c>
      <c r="P54" s="25">
        <f>IFERROR(VLOOKUP(A54,'[1]OMF By Acct. Backup'!A:D,4,FALSE),0)</f>
        <v>0</v>
      </c>
      <c r="Q54" s="25">
        <f>IFERROR(VLOOKUP(A54,'[1]OMF By Acct. Backup'!A:O,15,FALSE),0)</f>
        <v>0</v>
      </c>
      <c r="R54" s="25">
        <f>IFERROR(VLOOKUP(A54,'[1]OMF By Acct. Backup'!A:Q,17,FALSE),0)</f>
        <v>0</v>
      </c>
      <c r="S54" s="25">
        <f>IFERROR(VLOOKUP(A54,'[1]OMF By Acct. Backup'!A:L,12,FALSE),0)</f>
        <v>0</v>
      </c>
      <c r="T54" s="26">
        <f t="shared" ref="T54:T61" si="14">SUM(C54:S54)</f>
        <v>13369</v>
      </c>
      <c r="U54" s="25">
        <f>IFERROR(VLOOKUP(A54,'[1]OMF By Acct. Backup'!A:U,21,FALSE),0)</f>
        <v>13369</v>
      </c>
      <c r="V54" s="25">
        <f t="shared" ref="V54:V72" si="15">T54-U54</f>
        <v>0</v>
      </c>
      <c r="W54" s="31">
        <f t="shared" si="1"/>
        <v>0</v>
      </c>
      <c r="X54" s="4"/>
      <c r="Y54" s="4"/>
    </row>
    <row r="55" spans="1:25" ht="12" customHeight="1" x14ac:dyDescent="0.3">
      <c r="A55" s="18">
        <v>523302</v>
      </c>
      <c r="B55" s="43" t="s">
        <v>65</v>
      </c>
      <c r="C55" s="25">
        <f>IFERROR(VLOOKUP(A55,'[1]OMF By Acct. Backup'!A:C,3,FALSE),0)</f>
        <v>0</v>
      </c>
      <c r="D55" s="25">
        <f>IFERROR(VLOOKUP(A55,'[1]OMF By Acct. Backup'!A:E,5,FALSE),0)</f>
        <v>0</v>
      </c>
      <c r="E55" s="25">
        <f>IFERROR(VLOOKUP(A55,'[1]OMF By Acct. Backup'!A:F,6,FALSE),0)</f>
        <v>0</v>
      </c>
      <c r="F55" s="25">
        <f>IFERROR(VLOOKUP(A55,'[1]OMF By Acct. Backup'!A:J,10,FALSE),0)</f>
        <v>0</v>
      </c>
      <c r="G55" s="25">
        <f>IFERROR(VLOOKUP(A55,'[1]OMF By Acct. Backup'!A:M,13,FALSE),0)</f>
        <v>0</v>
      </c>
      <c r="H55" s="25">
        <f>IFERROR(VLOOKUP(A55,'[1]OMF By Acct. Backup'!A:N,14,FALSE),0)</f>
        <v>0</v>
      </c>
      <c r="I55" s="25">
        <f>IFERROR(VLOOKUP(A55,'[1]OMF By Acct. Backup'!A:P,16,FALSE),0)</f>
        <v>0</v>
      </c>
      <c r="J55" s="25">
        <f>IFERROR(VLOOKUP(A55,'[1]OMF By Acct. Backup'!A:G,7,FALSE),0)</f>
        <v>0</v>
      </c>
      <c r="K55" s="25">
        <f>IFERROR(VLOOKUP(A55,'[1]OMF By Acct. Backup'!A:I,9,FALSE),0)</f>
        <v>0</v>
      </c>
      <c r="L55" s="25">
        <f>IFERROR(VLOOKUP(A55,'[1]OMF By Acct. Backup'!A:R,18,FALSE),0)</f>
        <v>0</v>
      </c>
      <c r="M55" s="25">
        <f>IFERROR(VLOOKUP(A55,'[1]OMF By Acct. Backup'!A:S,19,FALSE),0)</f>
        <v>0</v>
      </c>
      <c r="N55" s="25">
        <f>IFERROR(VLOOKUP(A55,'[1]OMF By Acct. Backup'!A:H,8,FALSE),0)</f>
        <v>0</v>
      </c>
      <c r="O55" s="25">
        <f>IFERROR(VLOOKUP(A55,'[1]OMF By Acct. Backup'!A:K,11,FALSE),0)</f>
        <v>0</v>
      </c>
      <c r="P55" s="25">
        <f>IFERROR(VLOOKUP(A55,'[1]OMF By Acct. Backup'!A:D,4,FALSE),0)</f>
        <v>0</v>
      </c>
      <c r="Q55" s="25">
        <f>IFERROR(VLOOKUP(A55,'[1]OMF By Acct. Backup'!A:O,15,FALSE),0)</f>
        <v>0</v>
      </c>
      <c r="R55" s="25">
        <f>IFERROR(VLOOKUP(A55,'[1]OMF By Acct. Backup'!A:Q,17,FALSE),0)</f>
        <v>0</v>
      </c>
      <c r="S55" s="25">
        <f>IFERROR(VLOOKUP(A55,'[1]OMF By Acct. Backup'!A:L,12,FALSE),0)</f>
        <v>0</v>
      </c>
      <c r="T55" s="26">
        <f t="shared" si="14"/>
        <v>0</v>
      </c>
      <c r="U55" s="44">
        <f>IFERROR(VLOOKUP(A55,'[1]OMF By Acct. Backup'!A:U,21,FALSE),0)</f>
        <v>1618782</v>
      </c>
      <c r="V55" s="27">
        <f t="shared" si="15"/>
        <v>-1618782</v>
      </c>
      <c r="W55" s="31">
        <v>0</v>
      </c>
      <c r="X55" s="4"/>
      <c r="Y55" s="4"/>
    </row>
    <row r="56" spans="1:25" ht="12" customHeight="1" x14ac:dyDescent="0.3">
      <c r="A56" s="18">
        <v>523303</v>
      </c>
      <c r="B56" s="43" t="s">
        <v>66</v>
      </c>
      <c r="C56" s="25">
        <f>IFERROR(VLOOKUP(A56,'[1]OMF By Acct. Backup'!A:C,3,FALSE),0)</f>
        <v>0</v>
      </c>
      <c r="D56" s="25">
        <f>IFERROR(VLOOKUP(A56,'[1]OMF By Acct. Backup'!A:E,5,FALSE),0)</f>
        <v>0</v>
      </c>
      <c r="E56" s="25">
        <f>IFERROR(VLOOKUP(A56,'[1]OMF By Acct. Backup'!A:F,6,FALSE),0)</f>
        <v>0</v>
      </c>
      <c r="F56" s="25">
        <f>IFERROR(VLOOKUP(A56,'[1]OMF By Acct. Backup'!A:J,10,FALSE),0)</f>
        <v>0</v>
      </c>
      <c r="G56" s="25">
        <f>IFERROR(VLOOKUP(A56,'[1]OMF By Acct. Backup'!A:M,13,FALSE),0)</f>
        <v>0</v>
      </c>
      <c r="H56" s="25">
        <f>IFERROR(VLOOKUP(A56,'[1]OMF By Acct. Backup'!A:N,14,FALSE),0)</f>
        <v>0</v>
      </c>
      <c r="I56" s="25">
        <f>IFERROR(VLOOKUP(A56,'[1]OMF By Acct. Backup'!A:P,16,FALSE),0)</f>
        <v>0</v>
      </c>
      <c r="J56" s="25">
        <f>IFERROR(VLOOKUP(A56,'[1]OMF By Acct. Backup'!A:G,7,FALSE),0)</f>
        <v>0</v>
      </c>
      <c r="K56" s="25">
        <f>IFERROR(VLOOKUP(A56,'[1]OMF By Acct. Backup'!A:I,9,FALSE),0)</f>
        <v>0</v>
      </c>
      <c r="L56" s="25">
        <f>IFERROR(VLOOKUP(A56,'[1]OMF By Acct. Backup'!A:R,18,FALSE),0)</f>
        <v>0</v>
      </c>
      <c r="M56" s="25">
        <f>IFERROR(VLOOKUP(A56,'[1]OMF By Acct. Backup'!A:S,19,FALSE),0)</f>
        <v>0</v>
      </c>
      <c r="N56" s="25">
        <f>IFERROR(VLOOKUP(A56,'[1]OMF By Acct. Backup'!A:H,8,FALSE),0)</f>
        <v>0</v>
      </c>
      <c r="O56" s="25">
        <f>IFERROR(VLOOKUP(A56,'[1]OMF By Acct. Backup'!A:K,11,FALSE),0)</f>
        <v>0</v>
      </c>
      <c r="P56" s="25">
        <f>IFERROR(VLOOKUP(A56,'[1]OMF By Acct. Backup'!A:D,4,FALSE),0)</f>
        <v>0</v>
      </c>
      <c r="Q56" s="25">
        <f>IFERROR(VLOOKUP(A56,'[1]OMF By Acct. Backup'!A:O,15,FALSE),0)</f>
        <v>0</v>
      </c>
      <c r="R56" s="25">
        <f>IFERROR(VLOOKUP(A56,'[1]OMF By Acct. Backup'!A:Q,17,FALSE),0)</f>
        <v>0</v>
      </c>
      <c r="S56" s="25">
        <f>IFERROR(VLOOKUP(A56,'[1]OMF By Acct. Backup'!A:L,12,FALSE),0)</f>
        <v>0</v>
      </c>
      <c r="T56" s="26">
        <f t="shared" si="14"/>
        <v>0</v>
      </c>
      <c r="U56" s="44">
        <f>IFERROR(VLOOKUP(A56,'[1]OMF By Acct. Backup'!A:U,21,FALSE),0)</f>
        <v>1250499</v>
      </c>
      <c r="V56" s="27">
        <f t="shared" si="15"/>
        <v>-1250499</v>
      </c>
      <c r="W56" s="31">
        <v>0</v>
      </c>
      <c r="X56" s="4"/>
      <c r="Y56" s="4"/>
    </row>
    <row r="57" spans="1:25" ht="12" customHeight="1" x14ac:dyDescent="0.3">
      <c r="A57" s="18">
        <v>523304</v>
      </c>
      <c r="B57" s="43" t="s">
        <v>67</v>
      </c>
      <c r="C57" s="25">
        <f>IFERROR(VLOOKUP(A57,'[1]OMF By Acct. Backup'!A:C,3,FALSE),0)</f>
        <v>1000</v>
      </c>
      <c r="D57" s="25">
        <f>IFERROR(VLOOKUP(A57,'[1]OMF By Acct. Backup'!A:E,5,FALSE),0)</f>
        <v>0</v>
      </c>
      <c r="E57" s="25">
        <f>IFERROR(VLOOKUP(A57,'[1]OMF By Acct. Backup'!A:F,6,FALSE),0)</f>
        <v>0</v>
      </c>
      <c r="F57" s="25">
        <f>IFERROR(VLOOKUP(A57,'[1]OMF By Acct. Backup'!A:J,10,FALSE),0)</f>
        <v>16000</v>
      </c>
      <c r="G57" s="25">
        <f>IFERROR(VLOOKUP(A57,'[1]OMF By Acct. Backup'!A:M,13,FALSE),0)</f>
        <v>0</v>
      </c>
      <c r="H57" s="25">
        <f>IFERROR(VLOOKUP(A57,'[1]OMF By Acct. Backup'!A:N,14,FALSE),0)</f>
        <v>0</v>
      </c>
      <c r="I57" s="25">
        <f>IFERROR(VLOOKUP(A57,'[1]OMF By Acct. Backup'!A:P,16,FALSE),0)</f>
        <v>0</v>
      </c>
      <c r="J57" s="25">
        <f>IFERROR(VLOOKUP(A57,'[1]OMF By Acct. Backup'!A:G,7,FALSE),0)</f>
        <v>124440</v>
      </c>
      <c r="K57" s="25">
        <f>IFERROR(VLOOKUP(A57,'[1]OMF By Acct. Backup'!A:I,9,FALSE),0)</f>
        <v>1715841</v>
      </c>
      <c r="L57" s="25">
        <f>IFERROR(VLOOKUP(A57,'[1]OMF By Acct. Backup'!A:R,18,FALSE),0)</f>
        <v>0</v>
      </c>
      <c r="M57" s="25">
        <f>IFERROR(VLOOKUP(A57,'[1]OMF By Acct. Backup'!A:S,19,FALSE),0)</f>
        <v>700</v>
      </c>
      <c r="N57" s="25">
        <f>IFERROR(VLOOKUP(A57,'[1]OMF By Acct. Backup'!A:H,8,FALSE),0)</f>
        <v>100000</v>
      </c>
      <c r="O57" s="25">
        <f>IFERROR(VLOOKUP(A57,'[1]OMF By Acct. Backup'!A:K,11,FALSE),0)</f>
        <v>0</v>
      </c>
      <c r="P57" s="25">
        <f>IFERROR(VLOOKUP(A57,'[1]OMF By Acct. Backup'!A:D,4,FALSE),0)</f>
        <v>0</v>
      </c>
      <c r="Q57" s="25">
        <f>IFERROR(VLOOKUP(A57,'[1]OMF By Acct. Backup'!A:O,15,FALSE),0)</f>
        <v>0</v>
      </c>
      <c r="R57" s="25">
        <f>IFERROR(VLOOKUP(A57,'[1]OMF By Acct. Backup'!A:Q,17,FALSE),0)</f>
        <v>0</v>
      </c>
      <c r="S57" s="25">
        <f>IFERROR(VLOOKUP(A57,'[1]OMF By Acct. Backup'!A:L,12,FALSE),0)</f>
        <v>5292</v>
      </c>
      <c r="T57" s="26">
        <f t="shared" si="14"/>
        <v>1963273</v>
      </c>
      <c r="U57" s="44">
        <f>IFERROR(VLOOKUP(A57,'[1]OMF By Acct. Backup'!A:U,21,FALSE),0)</f>
        <v>1600000.2</v>
      </c>
      <c r="V57" s="27">
        <f t="shared" si="15"/>
        <v>363272.80000000005</v>
      </c>
      <c r="W57" s="23">
        <f t="shared" si="1"/>
        <v>0.2270454716193161</v>
      </c>
      <c r="X57" s="4"/>
      <c r="Y57" s="4"/>
    </row>
    <row r="58" spans="1:25" ht="12" customHeight="1" x14ac:dyDescent="0.3">
      <c r="A58" s="18">
        <v>523306</v>
      </c>
      <c r="B58" s="43" t="s">
        <v>68</v>
      </c>
      <c r="C58" s="25">
        <f>IFERROR(VLOOKUP(A58,'[1]OMF By Acct. Backup'!A:C,3,FALSE),0)</f>
        <v>0</v>
      </c>
      <c r="D58" s="25">
        <f>IFERROR(VLOOKUP(A58,'[1]OMF By Acct. Backup'!A:E,5,FALSE),0)</f>
        <v>0</v>
      </c>
      <c r="E58" s="25">
        <f>IFERROR(VLOOKUP(A58,'[1]OMF By Acct. Backup'!A:F,6,FALSE),0)</f>
        <v>0</v>
      </c>
      <c r="F58" s="25">
        <f>IFERROR(VLOOKUP(A58,'[1]OMF By Acct. Backup'!A:J,10,FALSE),0)</f>
        <v>0</v>
      </c>
      <c r="G58" s="25">
        <f>IFERROR(VLOOKUP(A58,'[1]OMF By Acct. Backup'!A:M,13,FALSE),0)</f>
        <v>0</v>
      </c>
      <c r="H58" s="25">
        <f>IFERROR(VLOOKUP(A58,'[1]OMF By Acct. Backup'!A:N,14,FALSE),0)</f>
        <v>0</v>
      </c>
      <c r="I58" s="25">
        <f>IFERROR(VLOOKUP(A58,'[1]OMF By Acct. Backup'!A:P,16,FALSE),0)</f>
        <v>0</v>
      </c>
      <c r="J58" s="25">
        <f>IFERROR(VLOOKUP(A58,'[1]OMF By Acct. Backup'!A:G,7,FALSE),0)</f>
        <v>0</v>
      </c>
      <c r="K58" s="25">
        <f>IFERROR(VLOOKUP(A58,'[1]OMF By Acct. Backup'!A:I,9,FALSE),0)</f>
        <v>2169282</v>
      </c>
      <c r="L58" s="25">
        <f>IFERROR(VLOOKUP(A58,'[1]OMF By Acct. Backup'!A:R,18,FALSE),0)</f>
        <v>0</v>
      </c>
      <c r="M58" s="25">
        <f>IFERROR(VLOOKUP(A58,'[1]OMF By Acct. Backup'!A:S,19,FALSE),0)</f>
        <v>0</v>
      </c>
      <c r="N58" s="25">
        <f>IFERROR(VLOOKUP(A58,'[1]OMF By Acct. Backup'!A:H,8,FALSE),0)</f>
        <v>0</v>
      </c>
      <c r="O58" s="25">
        <f>IFERROR(VLOOKUP(A58,'[1]OMF By Acct. Backup'!A:K,11,FALSE),0)</f>
        <v>0</v>
      </c>
      <c r="P58" s="25">
        <f>IFERROR(VLOOKUP(A58,'[1]OMF By Acct. Backup'!A:D,4,FALSE),0)</f>
        <v>0</v>
      </c>
      <c r="Q58" s="25">
        <f>IFERROR(VLOOKUP(A58,'[1]OMF By Acct. Backup'!A:O,15,FALSE),0)</f>
        <v>0</v>
      </c>
      <c r="R58" s="25">
        <f>IFERROR(VLOOKUP(A58,'[1]OMF By Acct. Backup'!A:Q,17,FALSE),0)</f>
        <v>0</v>
      </c>
      <c r="S58" s="25">
        <f>IFERROR(VLOOKUP(A58,'[1]OMF By Acct. Backup'!A:L,12,FALSE),0)</f>
        <v>0</v>
      </c>
      <c r="T58" s="26">
        <f t="shared" si="14"/>
        <v>2169282</v>
      </c>
      <c r="U58" s="44">
        <f>IFERROR(VLOOKUP(A58,'[1]OMF By Acct. Backup'!A:U,21,FALSE),0)</f>
        <v>0</v>
      </c>
      <c r="V58" s="27">
        <f t="shared" si="15"/>
        <v>2169282</v>
      </c>
      <c r="W58" s="31">
        <v>0</v>
      </c>
      <c r="X58" s="4"/>
      <c r="Y58" s="4"/>
    </row>
    <row r="59" spans="1:25" ht="12" customHeight="1" x14ac:dyDescent="0.3">
      <c r="A59" s="18">
        <v>523307</v>
      </c>
      <c r="B59" s="43" t="s">
        <v>69</v>
      </c>
      <c r="C59" s="25">
        <f>IFERROR(VLOOKUP(A59,'[1]OMF By Acct. Backup'!A:C,3,FALSE),0)</f>
        <v>0</v>
      </c>
      <c r="D59" s="25">
        <f>IFERROR(VLOOKUP(A59,'[1]OMF By Acct. Backup'!A:E,5,FALSE),0)</f>
        <v>0</v>
      </c>
      <c r="E59" s="25">
        <f>IFERROR(VLOOKUP(A59,'[1]OMF By Acct. Backup'!A:F,6,FALSE),0)</f>
        <v>0</v>
      </c>
      <c r="F59" s="25">
        <f>IFERROR(VLOOKUP(A59,'[1]OMF By Acct. Backup'!A:J,10,FALSE),0)</f>
        <v>0</v>
      </c>
      <c r="G59" s="25">
        <f>IFERROR(VLOOKUP(A59,'[1]OMF By Acct. Backup'!A:M,13,FALSE),0)</f>
        <v>0</v>
      </c>
      <c r="H59" s="25">
        <f>IFERROR(VLOOKUP(A59,'[1]OMF By Acct. Backup'!A:N,14,FALSE),0)</f>
        <v>0</v>
      </c>
      <c r="I59" s="25">
        <f>IFERROR(VLOOKUP(A59,'[1]OMF By Acct. Backup'!A:P,16,FALSE),0)</f>
        <v>0</v>
      </c>
      <c r="J59" s="25">
        <f>IFERROR(VLOOKUP(A59,'[1]OMF By Acct. Backup'!A:G,7,FALSE),0)</f>
        <v>0</v>
      </c>
      <c r="K59" s="25">
        <f>IFERROR(VLOOKUP(A59,'[1]OMF By Acct. Backup'!A:I,9,FALSE),0)</f>
        <v>700000</v>
      </c>
      <c r="L59" s="25">
        <f>IFERROR(VLOOKUP(A59,'[1]OMF By Acct. Backup'!A:R,18,FALSE),0)</f>
        <v>0</v>
      </c>
      <c r="M59" s="25">
        <f>IFERROR(VLOOKUP(A59,'[1]OMF By Acct. Backup'!A:S,19,FALSE),0)</f>
        <v>0</v>
      </c>
      <c r="N59" s="25">
        <f>IFERROR(VLOOKUP(A59,'[1]OMF By Acct. Backup'!A:H,8,FALSE),0)</f>
        <v>0</v>
      </c>
      <c r="O59" s="25">
        <f>IFERROR(VLOOKUP(A59,'[1]OMF By Acct. Backup'!A:K,11,FALSE),0)</f>
        <v>0</v>
      </c>
      <c r="P59" s="25">
        <f>IFERROR(VLOOKUP(A59,'[1]OMF By Acct. Backup'!A:D,4,FALSE),0)</f>
        <v>0</v>
      </c>
      <c r="Q59" s="25">
        <f>IFERROR(VLOOKUP(A59,'[1]OMF By Acct. Backup'!A:O,15,FALSE),0)</f>
        <v>0</v>
      </c>
      <c r="R59" s="25">
        <f>IFERROR(VLOOKUP(A59,'[1]OMF By Acct. Backup'!A:Q,17,FALSE),0)</f>
        <v>0</v>
      </c>
      <c r="S59" s="25">
        <f>IFERROR(VLOOKUP(A59,'[1]OMF By Acct. Backup'!A:L,12,FALSE),0)</f>
        <v>0</v>
      </c>
      <c r="T59" s="26">
        <f t="shared" si="14"/>
        <v>700000</v>
      </c>
      <c r="U59" s="44">
        <f>IFERROR(VLOOKUP(A59,'[1]OMF By Acct. Backup'!A:U,21,FALSE),0)</f>
        <v>0</v>
      </c>
      <c r="V59" s="27">
        <f t="shared" si="15"/>
        <v>700000</v>
      </c>
      <c r="W59" s="31">
        <v>0</v>
      </c>
      <c r="X59" s="4"/>
      <c r="Y59" s="4"/>
    </row>
    <row r="60" spans="1:25" ht="12" customHeight="1" x14ac:dyDescent="0.3">
      <c r="A60" s="18">
        <v>523401</v>
      </c>
      <c r="B60" s="19" t="s">
        <v>70</v>
      </c>
      <c r="C60" s="25">
        <f>IFERROR(VLOOKUP(A60,'[1]OMF By Acct. Backup'!A:C,3,FALSE),0)</f>
        <v>2500</v>
      </c>
      <c r="D60" s="25">
        <f>IFERROR(VLOOKUP(A60,'[1]OMF By Acct. Backup'!A:E,5,FALSE),0)</f>
        <v>0</v>
      </c>
      <c r="E60" s="25">
        <f>IFERROR(VLOOKUP(A60,'[1]OMF By Acct. Backup'!A:F,6,FALSE),0)</f>
        <v>0</v>
      </c>
      <c r="F60" s="25">
        <f>IFERROR(VLOOKUP(A60,'[1]OMF By Acct. Backup'!A:J,10,FALSE),0)</f>
        <v>0</v>
      </c>
      <c r="G60" s="25">
        <f>IFERROR(VLOOKUP(A60,'[1]OMF By Acct. Backup'!A:M,13,FALSE),0)</f>
        <v>0</v>
      </c>
      <c r="H60" s="25">
        <f>IFERROR(VLOOKUP(A60,'[1]OMF By Acct. Backup'!A:N,14,FALSE),0)</f>
        <v>0</v>
      </c>
      <c r="I60" s="25">
        <f>IFERROR(VLOOKUP(A60,'[1]OMF By Acct. Backup'!A:P,16,FALSE),0)</f>
        <v>0</v>
      </c>
      <c r="J60" s="25">
        <f>IFERROR(VLOOKUP(A60,'[1]OMF By Acct. Backup'!A:G,7,FALSE),0)</f>
        <v>0</v>
      </c>
      <c r="K60" s="25">
        <f>IFERROR(VLOOKUP(A60,'[1]OMF By Acct. Backup'!A:I,9,FALSE),0)</f>
        <v>5931</v>
      </c>
      <c r="L60" s="25">
        <f>IFERROR(VLOOKUP(A60,'[1]OMF By Acct. Backup'!A:R,18,FALSE),0)</f>
        <v>0</v>
      </c>
      <c r="M60" s="25">
        <v>5000</v>
      </c>
      <c r="N60" s="25">
        <f>IFERROR(VLOOKUP(A60,'[1]OMF By Acct. Backup'!A:H,8,FALSE),0)</f>
        <v>0</v>
      </c>
      <c r="O60" s="25">
        <f>IFERROR(VLOOKUP(A60,'[1]OMF By Acct. Backup'!A:K,11,FALSE),0)</f>
        <v>0</v>
      </c>
      <c r="P60" s="25">
        <f>IFERROR(VLOOKUP(A60,'[1]OMF By Acct. Backup'!A:D,4,FALSE),0)</f>
        <v>0</v>
      </c>
      <c r="Q60" s="25">
        <f>IFERROR(VLOOKUP(A60,'[1]OMF By Acct. Backup'!A:O,15,FALSE),0)</f>
        <v>0</v>
      </c>
      <c r="R60" s="25">
        <f>IFERROR(VLOOKUP(A60,'[1]OMF By Acct. Backup'!A:Q,17,FALSE),0)</f>
        <v>0</v>
      </c>
      <c r="S60" s="25">
        <f>IFERROR(VLOOKUP(A60,'[1]OMF By Acct. Backup'!A:L,12,FALSE),0)</f>
        <v>0</v>
      </c>
      <c r="T60" s="26">
        <f t="shared" si="14"/>
        <v>13431</v>
      </c>
      <c r="U60" s="44">
        <f>IFERROR(VLOOKUP(A60,'[1]OMF By Acct. Backup'!A:U,21,FALSE),0)</f>
        <v>25000</v>
      </c>
      <c r="V60" s="27">
        <f t="shared" si="15"/>
        <v>-11569</v>
      </c>
      <c r="W60" s="23">
        <f t="shared" si="1"/>
        <v>-0.46276</v>
      </c>
      <c r="X60" s="4"/>
      <c r="Y60" s="4"/>
    </row>
    <row r="61" spans="1:25" ht="12" customHeight="1" x14ac:dyDescent="0.3">
      <c r="A61" s="18">
        <v>523402</v>
      </c>
      <c r="B61" s="19" t="s">
        <v>71</v>
      </c>
      <c r="C61" s="25">
        <f>IFERROR(VLOOKUP(A61,'[1]OMF By Acct. Backup'!A:C,3,FALSE),0)</f>
        <v>0</v>
      </c>
      <c r="D61" s="25">
        <f>IFERROR(VLOOKUP(A61,'[1]OMF By Acct. Backup'!A:E,5,FALSE),0)</f>
        <v>0</v>
      </c>
      <c r="E61" s="25">
        <f>IFERROR(VLOOKUP(A61,'[1]OMF By Acct. Backup'!A:F,6,FALSE),0)</f>
        <v>0</v>
      </c>
      <c r="F61" s="25">
        <f>IFERROR(VLOOKUP(A61,'[1]OMF By Acct. Backup'!A:J,10,FALSE),0)</f>
        <v>0</v>
      </c>
      <c r="G61" s="25">
        <f>IFERROR(VLOOKUP(A61,'[1]OMF By Acct. Backup'!A:M,13,FALSE),0)</f>
        <v>0</v>
      </c>
      <c r="H61" s="25">
        <f>IFERROR(VLOOKUP(A61,'[1]OMF By Acct. Backup'!A:N,14,FALSE),0)</f>
        <v>0</v>
      </c>
      <c r="I61" s="25">
        <f>IFERROR(VLOOKUP(A61,'[1]OMF By Acct. Backup'!A:P,16,FALSE),0)</f>
        <v>0</v>
      </c>
      <c r="J61" s="25">
        <f>IFERROR(VLOOKUP(A61,'[1]OMF By Acct. Backup'!A:G,7,FALSE),0)</f>
        <v>0</v>
      </c>
      <c r="K61" s="25">
        <f>IFERROR(VLOOKUP(A61,'[1]OMF By Acct. Backup'!A:I,9,FALSE),0)</f>
        <v>0</v>
      </c>
      <c r="L61" s="25">
        <f>IFERROR(VLOOKUP(A61,'[1]OMF By Acct. Backup'!A:R,18,FALSE),0)</f>
        <v>0</v>
      </c>
      <c r="M61" s="25">
        <f>IFERROR(VLOOKUP(A61,'[1]OMF By Acct. Backup'!A:S,19,FALSE),0)</f>
        <v>0</v>
      </c>
      <c r="N61" s="25">
        <f>IFERROR(VLOOKUP(A61,'[1]OMF By Acct. Backup'!A:H,8,FALSE),0)</f>
        <v>0</v>
      </c>
      <c r="O61" s="25">
        <f>IFERROR(VLOOKUP(A61,'[1]OMF By Acct. Backup'!A:K,11,FALSE),0)</f>
        <v>0</v>
      </c>
      <c r="P61" s="25">
        <f>IFERROR(VLOOKUP(A61,'[1]OMF By Acct. Backup'!A:D,4,FALSE),0)</f>
        <v>0</v>
      </c>
      <c r="Q61" s="25">
        <f>IFERROR(VLOOKUP(A61,'[1]OMF By Acct. Backup'!A:O,15,FALSE),0)</f>
        <v>0</v>
      </c>
      <c r="R61" s="25">
        <f>IFERROR(VLOOKUP(A61,'[1]OMF By Acct. Backup'!A:Q,17,FALSE),0)</f>
        <v>0</v>
      </c>
      <c r="S61" s="25">
        <f>IFERROR(VLOOKUP(A61,'[1]OMF By Acct. Backup'!A:L,12,FALSE),0)</f>
        <v>0</v>
      </c>
      <c r="T61" s="26">
        <f t="shared" si="14"/>
        <v>0</v>
      </c>
      <c r="U61" s="44">
        <f>IFERROR(VLOOKUP(A61,'[1]OMF By Acct. Backup'!A:U,21,FALSE),0)</f>
        <v>25</v>
      </c>
      <c r="V61" s="27">
        <f t="shared" si="15"/>
        <v>-25</v>
      </c>
      <c r="W61" s="31">
        <v>0</v>
      </c>
      <c r="X61" s="4"/>
      <c r="Y61" s="4"/>
    </row>
    <row r="62" spans="1:25" s="42" customFormat="1" ht="12" customHeight="1" x14ac:dyDescent="0.3">
      <c r="A62" s="41"/>
      <c r="B62" s="33" t="s">
        <v>72</v>
      </c>
      <c r="C62" s="34">
        <f>SUM(C54:C61)</f>
        <v>3500</v>
      </c>
      <c r="D62" s="34">
        <f t="shared" ref="D62:S62" si="16">SUM(D54:D61)</f>
        <v>0</v>
      </c>
      <c r="E62" s="34">
        <f t="shared" si="16"/>
        <v>0</v>
      </c>
      <c r="F62" s="34">
        <f t="shared" si="16"/>
        <v>16000</v>
      </c>
      <c r="G62" s="34">
        <f t="shared" si="16"/>
        <v>0</v>
      </c>
      <c r="H62" s="34">
        <f t="shared" si="16"/>
        <v>0</v>
      </c>
      <c r="I62" s="34">
        <f t="shared" si="16"/>
        <v>13369</v>
      </c>
      <c r="J62" s="34">
        <f>SUM(J54:J61)</f>
        <v>124440</v>
      </c>
      <c r="K62" s="34">
        <f t="shared" si="16"/>
        <v>4591054</v>
      </c>
      <c r="L62" s="34">
        <f t="shared" si="16"/>
        <v>0</v>
      </c>
      <c r="M62" s="34">
        <f t="shared" si="16"/>
        <v>5700</v>
      </c>
      <c r="N62" s="34">
        <f t="shared" si="16"/>
        <v>100000</v>
      </c>
      <c r="O62" s="34">
        <f t="shared" si="16"/>
        <v>0</v>
      </c>
      <c r="P62" s="34">
        <f t="shared" si="16"/>
        <v>0</v>
      </c>
      <c r="Q62" s="34">
        <f t="shared" si="16"/>
        <v>0</v>
      </c>
      <c r="R62" s="34">
        <f t="shared" si="16"/>
        <v>0</v>
      </c>
      <c r="S62" s="34">
        <f t="shared" si="16"/>
        <v>5292</v>
      </c>
      <c r="T62" s="34">
        <f>SUM(T54:T61)</f>
        <v>4859355</v>
      </c>
      <c r="U62" s="34">
        <f t="shared" ref="U62" si="17">SUM(U54:U61)</f>
        <v>4507675.2</v>
      </c>
      <c r="V62" s="34">
        <f t="shared" si="15"/>
        <v>351679.79999999981</v>
      </c>
      <c r="W62" s="36">
        <f t="shared" si="1"/>
        <v>7.8017999167286897E-2</v>
      </c>
      <c r="X62" s="4"/>
      <c r="Y62" s="4"/>
    </row>
    <row r="63" spans="1:25" ht="12" customHeight="1" x14ac:dyDescent="0.3">
      <c r="A63" s="18">
        <v>521101</v>
      </c>
      <c r="B63" s="19" t="s">
        <v>73</v>
      </c>
      <c r="C63" s="25">
        <f>IFERROR(VLOOKUP(A63,'[1]OMF By Acct. Backup'!A:C,3,FALSE),0)</f>
        <v>6100</v>
      </c>
      <c r="D63" s="25">
        <f>IFERROR(VLOOKUP(A63,'[1]OMF By Acct. Backup'!A:E,5,FALSE),0)</f>
        <v>15000</v>
      </c>
      <c r="E63" s="25">
        <f>IFERROR(VLOOKUP(A63,'[1]OMF By Acct. Backup'!A:F,6,FALSE),0)</f>
        <v>63918</v>
      </c>
      <c r="F63" s="25">
        <v>20000</v>
      </c>
      <c r="G63" s="25">
        <f>IFERROR(VLOOKUP(A63,'[1]OMF By Acct. Backup'!A:M,13,FALSE),0)</f>
        <v>1000</v>
      </c>
      <c r="H63" s="25">
        <f>IFERROR(VLOOKUP(A63,'[1]OMF By Acct. Backup'!A:N,14,FALSE),0)</f>
        <v>2300</v>
      </c>
      <c r="I63" s="25">
        <f>IFERROR(VLOOKUP(A63,'[1]OMF By Acct. Backup'!A:P,16,FALSE),0)</f>
        <v>231</v>
      </c>
      <c r="J63" s="25">
        <f>IFERROR(VLOOKUP(A63,'[1]OMF By Acct. Backup'!A:G,7,FALSE),0)</f>
        <v>1350</v>
      </c>
      <c r="K63" s="25">
        <f>IFERROR(VLOOKUP(A63,'[1]OMF By Acct. Backup'!A:I,9,FALSE),0)</f>
        <v>9785</v>
      </c>
      <c r="L63" s="25">
        <f>IFERROR(VLOOKUP(A63,'[1]OMF By Acct. Backup'!A:R,18,FALSE),0)</f>
        <v>0</v>
      </c>
      <c r="M63" s="25">
        <f>IFERROR(VLOOKUP(A63,'[1]OMF By Acct. Backup'!A:S,19,FALSE),0)</f>
        <v>500</v>
      </c>
      <c r="N63" s="25">
        <f>IFERROR(VLOOKUP(A63,'[1]OMF By Acct. Backup'!A:H,8,FALSE),0)</f>
        <v>34880</v>
      </c>
      <c r="O63" s="25">
        <f>IFERROR(VLOOKUP(A63,'[1]OMF By Acct. Backup'!A:K,11,FALSE),0)</f>
        <v>2000</v>
      </c>
      <c r="P63" s="25">
        <f>IFERROR(VLOOKUP(A63,'[1]OMF By Acct. Backup'!A:D,4,FALSE),0)</f>
        <v>13900</v>
      </c>
      <c r="Q63" s="25">
        <f>IFERROR(VLOOKUP(A63,'[1]OMF By Acct. Backup'!A:O,15,FALSE),0)</f>
        <v>8000</v>
      </c>
      <c r="R63" s="25">
        <f>IFERROR(VLOOKUP(A63,'[1]OMF By Acct. Backup'!A:Q,17,FALSE),0)</f>
        <v>500</v>
      </c>
      <c r="S63" s="25">
        <f>IFERROR(VLOOKUP(A63,'[1]OMF By Acct. Backup'!A:L,12,FALSE),0)</f>
        <v>1000</v>
      </c>
      <c r="T63" s="26">
        <f t="shared" ref="T63:T72" si="18">SUM(C63:S63)</f>
        <v>180464</v>
      </c>
      <c r="U63" s="25">
        <f>IFERROR(VLOOKUP(A63,'[1]OMF By Acct. Backup'!A:U,21,FALSE),0)</f>
        <v>155424</v>
      </c>
      <c r="V63" s="26">
        <f t="shared" si="15"/>
        <v>25040</v>
      </c>
      <c r="W63" s="23">
        <f t="shared" si="1"/>
        <v>0.16110767963763639</v>
      </c>
      <c r="X63" s="4"/>
      <c r="Y63" s="4"/>
    </row>
    <row r="64" spans="1:25" ht="12" customHeight="1" x14ac:dyDescent="0.3">
      <c r="A64" s="18">
        <v>523101</v>
      </c>
      <c r="B64" s="40" t="s">
        <v>74</v>
      </c>
      <c r="C64" s="25">
        <f>IFERROR(VLOOKUP(A64,'[1]OMF By Acct. Backup'!A:C,3,FALSE),0)</f>
        <v>0</v>
      </c>
      <c r="D64" s="25">
        <f>IFERROR(VLOOKUP(A64,'[1]OMF By Acct. Backup'!A:E,5,FALSE),0)</f>
        <v>0</v>
      </c>
      <c r="E64" s="25">
        <f>IFERROR(VLOOKUP(A64,'[1]OMF By Acct. Backup'!A:F,6,FALSE),0)</f>
        <v>0</v>
      </c>
      <c r="F64" s="25">
        <f>IFERROR(VLOOKUP(A64,'[1]OMF By Acct. Backup'!A:J,10,FALSE),0)</f>
        <v>0</v>
      </c>
      <c r="G64" s="25">
        <f>IFERROR(VLOOKUP(A64,'[1]OMF By Acct. Backup'!A:M,13,FALSE),0)</f>
        <v>0</v>
      </c>
      <c r="H64" s="25">
        <f>IFERROR(VLOOKUP(A64,'[1]OMF By Acct. Backup'!A:N,14,FALSE),0)</f>
        <v>0</v>
      </c>
      <c r="I64" s="25">
        <f>IFERROR(VLOOKUP(A64,'[1]OMF By Acct. Backup'!A:P,16,FALSE),0)</f>
        <v>0</v>
      </c>
      <c r="J64" s="25">
        <f>IFERROR(VLOOKUP(A64,'[1]OMF By Acct. Backup'!A:G,7,FALSE),0)</f>
        <v>0</v>
      </c>
      <c r="K64" s="25">
        <f>IFERROR(VLOOKUP(A64,'[1]OMF By Acct. Backup'!A:I,9,FALSE),0)</f>
        <v>0</v>
      </c>
      <c r="L64" s="25">
        <f>IFERROR(VLOOKUP(A64,'[1]OMF By Acct. Backup'!A:R,18,FALSE),0)</f>
        <v>0</v>
      </c>
      <c r="M64" s="25">
        <f>IFERROR(VLOOKUP(A64,'[1]OMF By Acct. Backup'!A:S,19,FALSE),0)</f>
        <v>0</v>
      </c>
      <c r="N64" s="25">
        <f>IFERROR(VLOOKUP(A64,'[1]OMF By Acct. Backup'!A:H,8,FALSE),0)</f>
        <v>0</v>
      </c>
      <c r="O64" s="25">
        <f>IFERROR(VLOOKUP(A64,'[1]OMF By Acct. Backup'!A:K,11,FALSE),0)</f>
        <v>0</v>
      </c>
      <c r="P64" s="25">
        <f>IFERROR(VLOOKUP(A64,'[1]OMF By Acct. Backup'!A:D,4,FALSE),0)</f>
        <v>0</v>
      </c>
      <c r="Q64" s="25">
        <f>IFERROR(VLOOKUP(A64,'[1]OMF By Acct. Backup'!A:O,15,FALSE),0)</f>
        <v>0</v>
      </c>
      <c r="R64" s="25">
        <f>IFERROR(VLOOKUP(A64,'[1]OMF By Acct. Backup'!A:Q,17,FALSE),0)</f>
        <v>0</v>
      </c>
      <c r="S64" s="25">
        <f>IFERROR(VLOOKUP(A64,'[1]OMF By Acct. Backup'!A:L,12,FALSE),0)</f>
        <v>6637528</v>
      </c>
      <c r="T64" s="26">
        <f t="shared" si="18"/>
        <v>6637528</v>
      </c>
      <c r="U64" s="25">
        <f>IFERROR(VLOOKUP(A64,'[1]OMF By Acct. Backup'!A:U,21,FALSE),0)</f>
        <v>7048478</v>
      </c>
      <c r="V64" s="27">
        <f t="shared" si="15"/>
        <v>-410950</v>
      </c>
      <c r="W64" s="23">
        <f t="shared" si="1"/>
        <v>-5.8303367053142534E-2</v>
      </c>
      <c r="X64" s="4"/>
      <c r="Y64" s="4"/>
    </row>
    <row r="65" spans="1:25" ht="12" customHeight="1" x14ac:dyDescent="0.3">
      <c r="A65" s="18">
        <v>523305</v>
      </c>
      <c r="B65" s="19" t="s">
        <v>75</v>
      </c>
      <c r="C65" s="25">
        <f>IFERROR(VLOOKUP(A65,'[1]OMF By Acct. Backup'!A:C,3,FALSE),0)</f>
        <v>0</v>
      </c>
      <c r="D65" s="25">
        <f>IFERROR(VLOOKUP(A65,'[1]OMF By Acct. Backup'!A:E,5,FALSE),0)</f>
        <v>0</v>
      </c>
      <c r="E65" s="25">
        <f>IFERROR(VLOOKUP(A65,'[1]OMF By Acct. Backup'!A:F,6,FALSE),0)</f>
        <v>0</v>
      </c>
      <c r="F65" s="25">
        <f>IFERROR(VLOOKUP(A65,'[1]OMF By Acct. Backup'!A:J,10,FALSE),0)</f>
        <v>0</v>
      </c>
      <c r="G65" s="25">
        <f>IFERROR(VLOOKUP(A65,'[1]OMF By Acct. Backup'!A:M,13,FALSE),0)</f>
        <v>800</v>
      </c>
      <c r="H65" s="25">
        <f>IFERROR(VLOOKUP(A65,'[1]OMF By Acct. Backup'!A:N,14,FALSE),0)</f>
        <v>0</v>
      </c>
      <c r="I65" s="25">
        <f>IFERROR(VLOOKUP(A65,'[1]OMF By Acct. Backup'!A:P,16,FALSE),0)</f>
        <v>0</v>
      </c>
      <c r="J65" s="25">
        <f>IFERROR(VLOOKUP(A65,'[1]OMF By Acct. Backup'!A:G,7,FALSE),0)</f>
        <v>0</v>
      </c>
      <c r="K65" s="25">
        <f>IFERROR(VLOOKUP(A65,'[1]OMF By Acct. Backup'!A:I,9,FALSE),0)</f>
        <v>54678</v>
      </c>
      <c r="L65" s="25">
        <f>IFERROR(VLOOKUP(A65,'[1]OMF By Acct. Backup'!A:R,18,FALSE),0)</f>
        <v>0</v>
      </c>
      <c r="M65" s="25">
        <f>IFERROR(VLOOKUP(A65,'[1]OMF By Acct. Backup'!A:S,19,FALSE),0)</f>
        <v>0</v>
      </c>
      <c r="N65" s="25">
        <f>IFERROR(VLOOKUP(A65,'[1]OMF By Acct. Backup'!A:H,8,FALSE),0)</f>
        <v>0</v>
      </c>
      <c r="O65" s="25">
        <f>IFERROR(VLOOKUP(A65,'[1]OMF By Acct. Backup'!A:K,11,FALSE),0)</f>
        <v>0</v>
      </c>
      <c r="P65" s="25">
        <f>IFERROR(VLOOKUP(A65,'[1]OMF By Acct. Backup'!A:D,4,FALSE),0)</f>
        <v>0</v>
      </c>
      <c r="Q65" s="25">
        <f>IFERROR(VLOOKUP(A65,'[1]OMF By Acct. Backup'!A:O,15,FALSE),0)</f>
        <v>0</v>
      </c>
      <c r="R65" s="25">
        <f>IFERROR(VLOOKUP(A65,'[1]OMF By Acct. Backup'!A:Q,17,FALSE),0)</f>
        <v>0</v>
      </c>
      <c r="S65" s="25">
        <f>IFERROR(VLOOKUP(A65,'[1]OMF By Acct. Backup'!A:L,12,FALSE),0)</f>
        <v>0</v>
      </c>
      <c r="T65" s="26">
        <f t="shared" si="18"/>
        <v>55478</v>
      </c>
      <c r="U65" s="25">
        <f>IFERROR(VLOOKUP(A65,'[1]OMF By Acct. Backup'!A:U,21,FALSE),0)</f>
        <v>54678</v>
      </c>
      <c r="V65" s="27">
        <f t="shared" si="15"/>
        <v>800</v>
      </c>
      <c r="W65" s="23">
        <f t="shared" si="1"/>
        <v>1.4631113061926186E-2</v>
      </c>
      <c r="X65" s="4"/>
      <c r="Y65" s="4"/>
    </row>
    <row r="66" spans="1:25" ht="12" customHeight="1" x14ac:dyDescent="0.3">
      <c r="A66" s="18">
        <v>523501</v>
      </c>
      <c r="B66" s="19" t="s">
        <v>76</v>
      </c>
      <c r="C66" s="25">
        <f>IFERROR(VLOOKUP(A66,'[1]OMF By Acct. Backup'!A:C,3,FALSE),0)</f>
        <v>7000</v>
      </c>
      <c r="D66" s="25">
        <f>IFERROR(VLOOKUP(A66,'[1]OMF By Acct. Backup'!A:E,5,FALSE),0)</f>
        <v>20000</v>
      </c>
      <c r="E66" s="25">
        <f>IFERROR(VLOOKUP(A66,'[1]OMF By Acct. Backup'!A:F,6,FALSE),0)</f>
        <v>9926</v>
      </c>
      <c r="F66" s="25">
        <f>IFERROR(VLOOKUP(A66,'[1]OMF By Acct. Backup'!A:J,10,FALSE),0)</f>
        <v>11500</v>
      </c>
      <c r="G66" s="25">
        <f>IFERROR(VLOOKUP(A66,'[1]OMF By Acct. Backup'!A:M,13,FALSE),0)</f>
        <v>6000</v>
      </c>
      <c r="H66" s="25">
        <f>IFERROR(VLOOKUP(A66,'[1]OMF By Acct. Backup'!A:N,14,FALSE),0)</f>
        <v>12869</v>
      </c>
      <c r="I66" s="25">
        <f>IFERROR(VLOOKUP(A66,'[1]OMF By Acct. Backup'!A:P,16,FALSE),0)</f>
        <v>15000</v>
      </c>
      <c r="J66" s="25">
        <f>IFERROR(VLOOKUP(A66,'[1]OMF By Acct. Backup'!A:G,7,FALSE),0)</f>
        <v>4400</v>
      </c>
      <c r="K66" s="25">
        <f>IFERROR(VLOOKUP(A66,'[1]OMF By Acct. Backup'!A:I,9,FALSE),0)</f>
        <v>52000</v>
      </c>
      <c r="L66" s="25">
        <f>IFERROR(VLOOKUP(A66,'[1]OMF By Acct. Backup'!A:R,18,FALSE),0)</f>
        <v>0</v>
      </c>
      <c r="M66" s="25">
        <v>5000</v>
      </c>
      <c r="N66" s="25">
        <f>IFERROR(VLOOKUP(A66,'[1]OMF By Acct. Backup'!A:H,8,FALSE),0)</f>
        <v>20907</v>
      </c>
      <c r="O66" s="25">
        <f>IFERROR(VLOOKUP(A66,'[1]OMF By Acct. Backup'!A:K,11,FALSE),0)</f>
        <v>62500</v>
      </c>
      <c r="P66" s="25">
        <f>IFERROR(VLOOKUP(A66,'[1]OMF By Acct. Backup'!A:D,4,FALSE),0)</f>
        <v>143800</v>
      </c>
      <c r="Q66" s="25">
        <f>IFERROR(VLOOKUP(A66,'[1]OMF By Acct. Backup'!A:O,15,FALSE),0)</f>
        <v>55100</v>
      </c>
      <c r="R66" s="25">
        <f>IFERROR(VLOOKUP(A66,'[1]OMF By Acct. Backup'!A:Q,17,FALSE),0)</f>
        <v>5000</v>
      </c>
      <c r="S66" s="25">
        <f>IFERROR(VLOOKUP(A66,'[1]OMF By Acct. Backup'!A:L,12,FALSE),0)</f>
        <v>18191</v>
      </c>
      <c r="T66" s="26">
        <f t="shared" si="18"/>
        <v>449193</v>
      </c>
      <c r="U66" s="25">
        <f>IFERROR(VLOOKUP(A66,'[1]OMF By Acct. Backup'!A:U,21,FALSE),0)</f>
        <v>352404</v>
      </c>
      <c r="V66" s="27">
        <f t="shared" si="15"/>
        <v>96789</v>
      </c>
      <c r="W66" s="23">
        <f t="shared" si="1"/>
        <v>0.27465352266149079</v>
      </c>
      <c r="X66" s="4"/>
      <c r="Y66" s="4"/>
    </row>
    <row r="67" spans="1:25" ht="12" customHeight="1" x14ac:dyDescent="0.3">
      <c r="A67" s="18">
        <v>523601</v>
      </c>
      <c r="B67" s="19" t="s">
        <v>77</v>
      </c>
      <c r="C67" s="25">
        <f>IFERROR(VLOOKUP(A67,'[1]OMF By Acct. Backup'!A:C,3,FALSE),0)</f>
        <v>6000</v>
      </c>
      <c r="D67" s="25">
        <f>IFERROR(VLOOKUP(A67,'[1]OMF By Acct. Backup'!A:E,5,FALSE),0)</f>
        <v>63000</v>
      </c>
      <c r="E67" s="25">
        <f>IFERROR(VLOOKUP(A67,'[1]OMF By Acct. Backup'!A:F,6,FALSE),0)</f>
        <v>8500</v>
      </c>
      <c r="F67" s="25">
        <f>IFERROR(VLOOKUP(A67,'[1]OMF By Acct. Backup'!A:J,10,FALSE),0)</f>
        <v>5700</v>
      </c>
      <c r="G67" s="25">
        <f>IFERROR(VLOOKUP(A67,'[1]OMF By Acct. Backup'!A:M,13,FALSE),0)</f>
        <v>5100</v>
      </c>
      <c r="H67" s="25">
        <v>12310</v>
      </c>
      <c r="I67" s="25">
        <f>IFERROR(VLOOKUP(A67,'[1]OMF By Acct. Backup'!A:P,16,FALSE),0)</f>
        <v>16647.25</v>
      </c>
      <c r="J67" s="25">
        <f>IFERROR(VLOOKUP(A67,'[1]OMF By Acct. Backup'!A:G,7,FALSE),0)</f>
        <v>58500</v>
      </c>
      <c r="K67" s="25">
        <f>IFERROR(VLOOKUP(A67,'[1]OMF By Acct. Backup'!A:I,9,FALSE),0)</f>
        <v>30000</v>
      </c>
      <c r="L67" s="25">
        <f>IFERROR(VLOOKUP(A67,'[1]OMF By Acct. Backup'!A:R,18,FALSE),0)</f>
        <v>1562</v>
      </c>
      <c r="M67" s="25">
        <f>IFERROR(VLOOKUP(A67,'[1]OMF By Acct. Backup'!A:S,19,FALSE),0)</f>
        <v>375</v>
      </c>
      <c r="N67" s="25">
        <f>IFERROR(VLOOKUP(A67,'[1]OMF By Acct. Backup'!A:H,8,FALSE),0)</f>
        <v>44150</v>
      </c>
      <c r="O67" s="25">
        <f>IFERROR(VLOOKUP(A67,'[1]OMF By Acct. Backup'!A:K,11,FALSE),0)</f>
        <v>8650</v>
      </c>
      <c r="P67" s="25">
        <f>IFERROR(VLOOKUP(A67,'[1]OMF By Acct. Backup'!A:D,4,FALSE),0)</f>
        <v>12850</v>
      </c>
      <c r="Q67" s="25">
        <f>IFERROR(VLOOKUP(A67,'[1]OMF By Acct. Backup'!A:O,15,FALSE),0)</f>
        <v>13000</v>
      </c>
      <c r="R67" s="25">
        <f>IFERROR(VLOOKUP(A67,'[1]OMF By Acct. Backup'!A:Q,17,FALSE),0)</f>
        <v>1157</v>
      </c>
      <c r="S67" s="25">
        <f>IFERROR(VLOOKUP(A67,'[1]OMF By Acct. Backup'!A:L,12,FALSE),0)</f>
        <v>6661</v>
      </c>
      <c r="T67" s="26">
        <f t="shared" si="18"/>
        <v>294162.25</v>
      </c>
      <c r="U67" s="25">
        <f>IFERROR(VLOOKUP(A67,'[1]OMF By Acct. Backup'!A:U,21,FALSE),0)</f>
        <v>377860.64</v>
      </c>
      <c r="V67" s="27">
        <f t="shared" si="15"/>
        <v>-83698.390000000014</v>
      </c>
      <c r="W67" s="23">
        <f t="shared" si="1"/>
        <v>-0.22150597638325073</v>
      </c>
      <c r="X67" s="4"/>
      <c r="Y67" s="4"/>
    </row>
    <row r="68" spans="1:25" ht="12" customHeight="1" x14ac:dyDescent="0.3">
      <c r="A68" s="18">
        <v>523902</v>
      </c>
      <c r="B68" s="19" t="s">
        <v>78</v>
      </c>
      <c r="C68" s="25">
        <f>IFERROR(VLOOKUP(A68,'[1]OMF By Acct. Backup'!A:C,3,FALSE),0)</f>
        <v>0</v>
      </c>
      <c r="D68" s="25">
        <f>IFERROR(VLOOKUP(A68,'[1]OMF By Acct. Backup'!A:E,5,FALSE),0)</f>
        <v>0</v>
      </c>
      <c r="E68" s="25">
        <f>IFERROR(VLOOKUP(A68,'[1]OMF By Acct. Backup'!A:F,6,FALSE),0)</f>
        <v>0</v>
      </c>
      <c r="F68" s="25">
        <f>IFERROR(VLOOKUP(A68,'[1]OMF By Acct. Backup'!A:J,10,FALSE),0)</f>
        <v>0</v>
      </c>
      <c r="G68" s="25">
        <f>IFERROR(VLOOKUP(A68,'[1]OMF By Acct. Backup'!A:M,13,FALSE),0)</f>
        <v>0</v>
      </c>
      <c r="H68" s="25">
        <f>IFERROR(VLOOKUP(A68,'[1]OMF By Acct. Backup'!A:N,14,FALSE),0)</f>
        <v>0</v>
      </c>
      <c r="I68" s="25">
        <f>IFERROR(VLOOKUP(A68,'[1]OMF By Acct. Backup'!A:P,16,FALSE),0)</f>
        <v>0</v>
      </c>
      <c r="J68" s="25">
        <f>IFERROR(VLOOKUP(A68,'[1]OMF By Acct. Backup'!A:G,7,FALSE),0)</f>
        <v>0</v>
      </c>
      <c r="K68" s="25">
        <f>IFERROR(VLOOKUP(A68,'[1]OMF By Acct. Backup'!A:I,9,FALSE),0)</f>
        <v>0</v>
      </c>
      <c r="L68" s="25">
        <f>IFERROR(VLOOKUP(A68,'[1]OMF By Acct. Backup'!A:R,18,FALSE),0)</f>
        <v>0</v>
      </c>
      <c r="M68" s="25">
        <f>IFERROR(VLOOKUP(A68,'[1]OMF By Acct. Backup'!A:S,19,FALSE),0)</f>
        <v>0</v>
      </c>
      <c r="N68" s="25">
        <f>IFERROR(VLOOKUP(A68,'[1]OMF By Acct. Backup'!A:H,8,FALSE),0)</f>
        <v>0</v>
      </c>
      <c r="O68" s="25">
        <f>IFERROR(VLOOKUP(A68,'[1]OMF By Acct. Backup'!A:K,11,FALSE),0)</f>
        <v>0</v>
      </c>
      <c r="P68" s="25">
        <f>IFERROR(VLOOKUP(A68,'[1]OMF By Acct. Backup'!A:D,4,FALSE),0)</f>
        <v>0</v>
      </c>
      <c r="Q68" s="25">
        <f>IFERROR(VLOOKUP(A68,'[1]OMF By Acct. Backup'!A:O,15,FALSE),0)</f>
        <v>0</v>
      </c>
      <c r="R68" s="25">
        <f>IFERROR(VLOOKUP(A68,'[1]OMF By Acct. Backup'!A:Q,17,FALSE),0)</f>
        <v>0</v>
      </c>
      <c r="S68" s="25">
        <f>IFERROR(VLOOKUP(A68,'[1]OMF By Acct. Backup'!A:L,12,FALSE),0)</f>
        <v>9800</v>
      </c>
      <c r="T68" s="26">
        <f t="shared" si="18"/>
        <v>9800</v>
      </c>
      <c r="U68" s="25">
        <f>IFERROR(VLOOKUP(A68,'[1]OMF By Acct. Backup'!A:U,21,FALSE),0)</f>
        <v>9800</v>
      </c>
      <c r="V68" s="25">
        <f t="shared" si="15"/>
        <v>0</v>
      </c>
      <c r="W68" s="31">
        <v>0</v>
      </c>
      <c r="X68" s="4"/>
      <c r="Y68" s="4"/>
    </row>
    <row r="69" spans="1:25" ht="12" customHeight="1" x14ac:dyDescent="0.3">
      <c r="A69" s="18">
        <v>531101</v>
      </c>
      <c r="B69" s="40" t="s">
        <v>79</v>
      </c>
      <c r="C69" s="25">
        <f>IFERROR(VLOOKUP(A69,'[1]OMF By Acct. Backup'!A:C,3,FALSE),0)</f>
        <v>3500</v>
      </c>
      <c r="D69" s="25">
        <f>IFERROR(VLOOKUP(A69,'[1]OMF By Acct. Backup'!A:E,5,FALSE),0)</f>
        <v>400</v>
      </c>
      <c r="E69" s="25">
        <f>IFERROR(VLOOKUP(A69,'[1]OMF By Acct. Backup'!A:F,6,FALSE),0)</f>
        <v>2020</v>
      </c>
      <c r="F69" s="25">
        <f>IFERROR(VLOOKUP(A69,'[1]OMF By Acct. Backup'!A:J,10,FALSE),0)</f>
        <v>5000</v>
      </c>
      <c r="G69" s="25">
        <f>IFERROR(VLOOKUP(A69,'[1]OMF By Acct. Backup'!A:M,13,FALSE),0)</f>
        <v>850</v>
      </c>
      <c r="H69" s="25">
        <f>IFERROR(VLOOKUP(A69,'[1]OMF By Acct. Backup'!A:N,14,FALSE),0)</f>
        <v>42129</v>
      </c>
      <c r="I69" s="25">
        <f>IFERROR(VLOOKUP(A69,'[1]OMF By Acct. Backup'!A:P,16,FALSE),0)</f>
        <v>4184</v>
      </c>
      <c r="J69" s="25">
        <f>IFERROR(VLOOKUP(A69,'[1]OMF By Acct. Backup'!A:G,7,FALSE),0)</f>
        <v>1500</v>
      </c>
      <c r="K69" s="25">
        <f>IFERROR(VLOOKUP(A69,'[1]OMF By Acct. Backup'!A:I,9,FALSE),0)</f>
        <v>5583</v>
      </c>
      <c r="L69" s="25">
        <f>IFERROR(VLOOKUP(A69,'[1]OMF By Acct. Backup'!A:R,18,FALSE),0)</f>
        <v>246076</v>
      </c>
      <c r="M69" s="25">
        <v>1105</v>
      </c>
      <c r="N69" s="25">
        <f>IFERROR(VLOOKUP(A69,'[1]OMF By Acct. Backup'!A:H,8,FALSE),0)</f>
        <v>98300</v>
      </c>
      <c r="O69" s="25">
        <f>IFERROR(VLOOKUP(A69,'[1]OMF By Acct. Backup'!A:K,11,FALSE),0)</f>
        <v>20200</v>
      </c>
      <c r="P69" s="25">
        <f>IFERROR(VLOOKUP(A69,'[1]OMF By Acct. Backup'!A:D,4,FALSE),0)</f>
        <v>20000</v>
      </c>
      <c r="Q69" s="25">
        <f>IFERROR(VLOOKUP(A69,'[1]OMF By Acct. Backup'!A:O,15,FALSE),0)</f>
        <v>20000</v>
      </c>
      <c r="R69" s="25">
        <f>IFERROR(VLOOKUP(A69,'[1]OMF By Acct. Backup'!A:Q,17,FALSE),0)</f>
        <v>2041</v>
      </c>
      <c r="S69" s="25">
        <f>IFERROR(VLOOKUP(A69,'[1]OMF By Acct. Backup'!A:L,12,FALSE),0)</f>
        <v>9854</v>
      </c>
      <c r="T69" s="26">
        <f t="shared" si="18"/>
        <v>482742</v>
      </c>
      <c r="U69" s="25">
        <f>IFERROR(VLOOKUP(A69,'[1]OMF By Acct. Backup'!A:U,21,FALSE),0)</f>
        <v>462983</v>
      </c>
      <c r="V69" s="27">
        <f t="shared" si="15"/>
        <v>19759</v>
      </c>
      <c r="W69" s="23">
        <f t="shared" si="1"/>
        <v>4.2677592913778692E-2</v>
      </c>
      <c r="X69" s="4"/>
      <c r="Y69" s="4"/>
    </row>
    <row r="70" spans="1:25" ht="12" customHeight="1" x14ac:dyDescent="0.3">
      <c r="A70" s="18">
        <v>531105</v>
      </c>
      <c r="B70" s="19" t="s">
        <v>80</v>
      </c>
      <c r="C70" s="25">
        <f>IFERROR(VLOOKUP(A70,'[1]OMF By Acct. Backup'!A:C,3,FALSE),0)</f>
        <v>420</v>
      </c>
      <c r="D70" s="25">
        <f>IFERROR(VLOOKUP(A70,'[1]OMF By Acct. Backup'!A:E,5,FALSE),0)</f>
        <v>60</v>
      </c>
      <c r="E70" s="25">
        <f>IFERROR(VLOOKUP(A70,'[1]OMF By Acct. Backup'!A:F,6,FALSE),0)</f>
        <v>1257</v>
      </c>
      <c r="F70" s="25">
        <f>IFERROR(VLOOKUP(A70,'[1]OMF By Acct. Backup'!A:J,10,FALSE),0)</f>
        <v>483</v>
      </c>
      <c r="G70" s="25">
        <f>IFERROR(VLOOKUP(A70,'[1]OMF By Acct. Backup'!A:M,13,FALSE),0)</f>
        <v>0</v>
      </c>
      <c r="H70" s="25">
        <f>IFERROR(VLOOKUP(A70,'[1]OMF By Acct. Backup'!A:N,14,FALSE),0)</f>
        <v>472</v>
      </c>
      <c r="I70" s="25">
        <f>IFERROR(VLOOKUP(A70,'[1]OMF By Acct. Backup'!A:P,16,FALSE),0)</f>
        <v>90</v>
      </c>
      <c r="J70" s="25">
        <f>IFERROR(VLOOKUP(A70,'[1]OMF By Acct. Backup'!A:G,7,FALSE),0)</f>
        <v>0</v>
      </c>
      <c r="K70" s="25">
        <f>IFERROR(VLOOKUP(A70,'[1]OMF By Acct. Backup'!A:I,9,FALSE),0)</f>
        <v>250</v>
      </c>
      <c r="L70" s="25">
        <f>IFERROR(VLOOKUP(A70,'[1]OMF By Acct. Backup'!A:R,18,FALSE),0)</f>
        <v>0</v>
      </c>
      <c r="M70" s="25">
        <f>IFERROR(VLOOKUP(A70,'[1]OMF By Acct. Backup'!A:S,19,FALSE),0)</f>
        <v>200</v>
      </c>
      <c r="N70" s="25">
        <f>IFERROR(VLOOKUP(A70,'[1]OMF By Acct. Backup'!A:H,8,FALSE),0)</f>
        <v>375</v>
      </c>
      <c r="O70" s="25">
        <f>IFERROR(VLOOKUP(A70,'[1]OMF By Acct. Backup'!A:K,11,FALSE),0)</f>
        <v>2000</v>
      </c>
      <c r="P70" s="25">
        <f>IFERROR(VLOOKUP(A70,'[1]OMF By Acct. Backup'!A:D,4,FALSE),0)</f>
        <v>400</v>
      </c>
      <c r="Q70" s="25">
        <f>IFERROR(VLOOKUP(A70,'[1]OMF By Acct. Backup'!A:O,15,FALSE),0)</f>
        <v>215</v>
      </c>
      <c r="R70" s="25">
        <f>IFERROR(VLOOKUP(A70,'[1]OMF By Acct. Backup'!A:Q,17,FALSE),0)</f>
        <v>407</v>
      </c>
      <c r="S70" s="25">
        <f>IFERROR(VLOOKUP(A70,'[1]OMF By Acct. Backup'!A:L,12,FALSE),0)</f>
        <v>106</v>
      </c>
      <c r="T70" s="26">
        <f t="shared" si="18"/>
        <v>6735</v>
      </c>
      <c r="U70" s="25">
        <f>IFERROR(VLOOKUP(A70,'[1]OMF By Acct. Backup'!A:U,21,FALSE),0)</f>
        <v>7000</v>
      </c>
      <c r="V70" s="27">
        <f t="shared" si="15"/>
        <v>-265</v>
      </c>
      <c r="W70" s="23">
        <f t="shared" si="1"/>
        <v>-3.785714285714286E-2</v>
      </c>
      <c r="X70" s="4"/>
      <c r="Y70" s="4"/>
    </row>
    <row r="71" spans="1:25" ht="12" customHeight="1" x14ac:dyDescent="0.3">
      <c r="A71" s="18">
        <v>531401</v>
      </c>
      <c r="B71" s="43" t="s">
        <v>81</v>
      </c>
      <c r="C71" s="25">
        <f>IFERROR(VLOOKUP(A71,'[1]OMF By Acct. Backup'!A:C,3,FALSE),0)</f>
        <v>0</v>
      </c>
      <c r="D71" s="25">
        <f>IFERROR(VLOOKUP(A71,'[1]OMF By Acct. Backup'!A:E,5,FALSE),0)</f>
        <v>0</v>
      </c>
      <c r="E71" s="25">
        <f>IFERROR(VLOOKUP(A71,'[1]OMF By Acct. Backup'!A:F,6,FALSE),0)</f>
        <v>0</v>
      </c>
      <c r="F71" s="25">
        <f>IFERROR(VLOOKUP(A71,'[1]OMF By Acct. Backup'!A:J,10,FALSE),0)</f>
        <v>0</v>
      </c>
      <c r="G71" s="25">
        <f>IFERROR(VLOOKUP(A71,'[1]OMF By Acct. Backup'!A:M,13,FALSE),0)</f>
        <v>250</v>
      </c>
      <c r="H71" s="25">
        <f>IFERROR(VLOOKUP(A71,'[1]OMF By Acct. Backup'!A:N,14,FALSE),0)</f>
        <v>0</v>
      </c>
      <c r="I71" s="25">
        <f>IFERROR(VLOOKUP(A71,'[1]OMF By Acct. Backup'!A:P,16,FALSE),0)</f>
        <v>0</v>
      </c>
      <c r="J71" s="25">
        <f>IFERROR(VLOOKUP(A71,'[1]OMF By Acct. Backup'!A:G,7,FALSE),0)</f>
        <v>0</v>
      </c>
      <c r="K71" s="25">
        <f>IFERROR(VLOOKUP(A71,'[1]OMF By Acct. Backup'!A:I,9,FALSE),0)</f>
        <v>0</v>
      </c>
      <c r="L71" s="25">
        <f>IFERROR(VLOOKUP(A71,'[1]OMF By Acct. Backup'!A:R,18,FALSE),0)</f>
        <v>0</v>
      </c>
      <c r="M71" s="25">
        <f>IFERROR(VLOOKUP(A71,'[1]OMF By Acct. Backup'!A:S,19,FALSE),0)</f>
        <v>0</v>
      </c>
      <c r="N71" s="25">
        <f>IFERROR(VLOOKUP(A71,'[1]OMF By Acct. Backup'!A:H,8,FALSE),0)</f>
        <v>0</v>
      </c>
      <c r="O71" s="25">
        <f>IFERROR(VLOOKUP(A71,'[1]OMF By Acct. Backup'!A:K,11,FALSE),0)</f>
        <v>0</v>
      </c>
      <c r="P71" s="25">
        <f>IFERROR(VLOOKUP(A71,'[1]OMF By Acct. Backup'!A:D,4,FALSE),0)</f>
        <v>0</v>
      </c>
      <c r="Q71" s="25">
        <f>IFERROR(VLOOKUP(A71,'[1]OMF By Acct. Backup'!A:O,15,FALSE),0)</f>
        <v>0</v>
      </c>
      <c r="R71" s="25">
        <f>IFERROR(VLOOKUP(A71,'[1]OMF By Acct. Backup'!A:Q,17,FALSE),0)</f>
        <v>0</v>
      </c>
      <c r="S71" s="25">
        <f>IFERROR(VLOOKUP(A71,'[1]OMF By Acct. Backup'!A:L,12,FALSE),0)</f>
        <v>0</v>
      </c>
      <c r="T71" s="26">
        <f t="shared" si="18"/>
        <v>250</v>
      </c>
      <c r="U71" s="25">
        <f>IFERROR(VLOOKUP(A71,'[1]OMF By Acct. Backup'!A:U,21,FALSE),0)</f>
        <v>250</v>
      </c>
      <c r="V71" s="25">
        <f t="shared" si="15"/>
        <v>0</v>
      </c>
      <c r="W71" s="31">
        <v>0</v>
      </c>
      <c r="X71" s="4"/>
      <c r="Y71" s="4"/>
    </row>
    <row r="72" spans="1:25" ht="12" customHeight="1" x14ac:dyDescent="0.3">
      <c r="A72" s="18">
        <v>573001</v>
      </c>
      <c r="B72" s="40" t="s">
        <v>82</v>
      </c>
      <c r="C72" s="25">
        <f>IFERROR(VLOOKUP(A72,'[1]OMF By Acct. Backup'!A:C,3,FALSE),0)</f>
        <v>0</v>
      </c>
      <c r="D72" s="25">
        <f>IFERROR(VLOOKUP(A72,'[1]OMF By Acct. Backup'!A:E,5,FALSE),0)</f>
        <v>0</v>
      </c>
      <c r="E72" s="25">
        <f>IFERROR(VLOOKUP(A72,'[1]OMF By Acct. Backup'!A:F,6,FALSE),0)</f>
        <v>0</v>
      </c>
      <c r="F72" s="25">
        <f>IFERROR(VLOOKUP(A72,'[1]OMF By Acct. Backup'!A:J,10,FALSE),0)</f>
        <v>0</v>
      </c>
      <c r="G72" s="25">
        <f>IFERROR(VLOOKUP(A72,'[1]OMF By Acct. Backup'!A:M,13,FALSE),0)</f>
        <v>0</v>
      </c>
      <c r="H72" s="25">
        <f>IFERROR(VLOOKUP(A72,'[1]OMF By Acct. Backup'!A:N,14,FALSE),0)</f>
        <v>0</v>
      </c>
      <c r="I72" s="25">
        <f>IFERROR(VLOOKUP(A72,'[1]OMF By Acct. Backup'!A:P,16,FALSE),0)</f>
        <v>0</v>
      </c>
      <c r="J72" s="25">
        <f>IFERROR(VLOOKUP(A72,'[1]OMF By Acct. Backup'!A:G,7,FALSE),0)</f>
        <v>0</v>
      </c>
      <c r="K72" s="25">
        <f>IFERROR(VLOOKUP(A72,'[1]OMF By Acct. Backup'!A:I,9,FALSE),0)</f>
        <v>0</v>
      </c>
      <c r="L72" s="25">
        <f>IFERROR(VLOOKUP(A72,'[1]OMF By Acct. Backup'!A:R,18,FALSE),0)</f>
        <v>0</v>
      </c>
      <c r="M72" s="25">
        <v>17000</v>
      </c>
      <c r="N72" s="25">
        <f>IFERROR(VLOOKUP(A72,'[1]OMF By Acct. Backup'!A:H,8,FALSE),0)</f>
        <v>400000</v>
      </c>
      <c r="O72" s="25">
        <f>IFERROR(VLOOKUP(A72,'[1]OMF By Acct. Backup'!A:K,11,FALSE),0)</f>
        <v>0</v>
      </c>
      <c r="P72" s="25">
        <f>IFERROR(VLOOKUP(A72,'[1]OMF By Acct. Backup'!A:D,4,FALSE),0)</f>
        <v>0</v>
      </c>
      <c r="Q72" s="25">
        <f>IFERROR(VLOOKUP(A72,'[1]OMF By Acct. Backup'!A:O,15,FALSE),0)</f>
        <v>0</v>
      </c>
      <c r="R72" s="25">
        <f>IFERROR(VLOOKUP(A72,'[1]OMF By Acct. Backup'!A:Q,17,FALSE),0)</f>
        <v>0</v>
      </c>
      <c r="S72" s="25">
        <f>IFERROR(VLOOKUP(A72,'[1]OMF By Acct. Backup'!A:L,12,FALSE),0)</f>
        <v>0</v>
      </c>
      <c r="T72" s="26">
        <f t="shared" si="18"/>
        <v>417000</v>
      </c>
      <c r="U72" s="25">
        <f>IFERROR(VLOOKUP(A72,'[1]OMF By Acct. Backup'!A:U,21,FALSE),0)</f>
        <v>415000</v>
      </c>
      <c r="V72" s="25">
        <f t="shared" si="15"/>
        <v>2000</v>
      </c>
      <c r="W72" s="31">
        <v>0</v>
      </c>
      <c r="X72" s="4"/>
      <c r="Y72" s="4"/>
    </row>
    <row r="73" spans="1:25" s="42" customFormat="1" ht="12" customHeight="1" x14ac:dyDescent="0.3">
      <c r="B73" s="33" t="s">
        <v>83</v>
      </c>
      <c r="C73" s="34">
        <f>SUM(C63:C72)</f>
        <v>23020</v>
      </c>
      <c r="D73" s="34">
        <f t="shared" ref="D73:S73" si="19">SUM(D63:D72)</f>
        <v>98460</v>
      </c>
      <c r="E73" s="34">
        <f t="shared" si="19"/>
        <v>85621</v>
      </c>
      <c r="F73" s="34">
        <f t="shared" si="19"/>
        <v>42683</v>
      </c>
      <c r="G73" s="34">
        <f t="shared" si="19"/>
        <v>14000</v>
      </c>
      <c r="H73" s="34">
        <f t="shared" si="19"/>
        <v>70080</v>
      </c>
      <c r="I73" s="34">
        <f t="shared" si="19"/>
        <v>36152.25</v>
      </c>
      <c r="J73" s="34">
        <f>SUM(J63:J72)</f>
        <v>65750</v>
      </c>
      <c r="K73" s="34">
        <f t="shared" si="19"/>
        <v>152296</v>
      </c>
      <c r="L73" s="34">
        <f t="shared" si="19"/>
        <v>247638</v>
      </c>
      <c r="M73" s="34">
        <f t="shared" si="19"/>
        <v>24180</v>
      </c>
      <c r="N73" s="34">
        <f t="shared" si="19"/>
        <v>598612</v>
      </c>
      <c r="O73" s="34">
        <f t="shared" si="19"/>
        <v>95350</v>
      </c>
      <c r="P73" s="34">
        <f t="shared" si="19"/>
        <v>190950</v>
      </c>
      <c r="Q73" s="34">
        <f t="shared" si="19"/>
        <v>96315</v>
      </c>
      <c r="R73" s="34">
        <f t="shared" si="19"/>
        <v>9105</v>
      </c>
      <c r="S73" s="34">
        <f t="shared" si="19"/>
        <v>6683140</v>
      </c>
      <c r="T73" s="34">
        <f>SUM(T63:T72)</f>
        <v>8533352.25</v>
      </c>
      <c r="U73" s="34">
        <f t="shared" ref="U73:V73" si="20">SUM(U63:U72)</f>
        <v>8883877.6400000006</v>
      </c>
      <c r="V73" s="45">
        <f t="shared" si="20"/>
        <v>-350525.39</v>
      </c>
      <c r="W73" s="36">
        <f t="shared" si="1"/>
        <v>-3.9456350504170158E-2</v>
      </c>
      <c r="X73" s="4"/>
      <c r="Y73" s="4"/>
    </row>
    <row r="74" spans="1:25" ht="4.2" customHeight="1" x14ac:dyDescent="0.3">
      <c r="B74" s="46"/>
      <c r="C74" s="47"/>
      <c r="D74" s="47"/>
      <c r="E74" s="47"/>
      <c r="F74" s="47"/>
      <c r="G74" s="47"/>
      <c r="H74" s="47"/>
      <c r="I74" s="47"/>
      <c r="J74" s="47"/>
      <c r="K74" s="47"/>
      <c r="L74" s="48"/>
      <c r="M74" s="48"/>
      <c r="N74" s="47"/>
      <c r="O74" s="47"/>
      <c r="P74" s="47"/>
      <c r="Q74" s="47"/>
      <c r="R74" s="47"/>
      <c r="S74" s="48"/>
      <c r="T74" s="48"/>
      <c r="U74" s="48"/>
      <c r="V74" s="49"/>
      <c r="W74" s="50"/>
      <c r="X74" s="4"/>
      <c r="Y74" s="4"/>
    </row>
    <row r="75" spans="1:25" s="42" customFormat="1" ht="12" customHeight="1" thickBot="1" x14ac:dyDescent="0.35">
      <c r="A75" s="42" t="s">
        <v>84</v>
      </c>
      <c r="B75" s="33" t="s">
        <v>85</v>
      </c>
      <c r="C75" s="51"/>
      <c r="D75" s="51"/>
      <c r="E75" s="51"/>
      <c r="F75" s="51"/>
      <c r="G75" s="51"/>
      <c r="H75" s="51"/>
      <c r="I75" s="51"/>
      <c r="J75" s="51"/>
      <c r="K75" s="51"/>
      <c r="L75" s="51">
        <v>-32829551</v>
      </c>
      <c r="M75" s="51"/>
      <c r="N75" s="51"/>
      <c r="O75" s="51"/>
      <c r="P75" s="51"/>
      <c r="Q75" s="51"/>
      <c r="R75" s="51"/>
      <c r="S75" s="51"/>
      <c r="T75" s="52">
        <f>L75</f>
        <v>-32829551</v>
      </c>
      <c r="U75" s="51">
        <v>-31989314</v>
      </c>
      <c r="V75" s="34">
        <v>1508866</v>
      </c>
      <c r="W75" s="36">
        <v>4.7E-2</v>
      </c>
      <c r="X75" s="4"/>
      <c r="Y75" s="4"/>
    </row>
    <row r="76" spans="1:25" ht="15" customHeight="1" thickBot="1" x14ac:dyDescent="0.35">
      <c r="B76" s="53" t="s">
        <v>86</v>
      </c>
      <c r="C76" s="54">
        <f>+C75+C73+C62+C53+C45+C32+C22</f>
        <v>2304965.5700000003</v>
      </c>
      <c r="D76" s="54">
        <f t="shared" ref="D76:U76" si="21">+D75+D73+D62+D53+D45+D32+D22</f>
        <v>806109</v>
      </c>
      <c r="E76" s="54">
        <f t="shared" si="21"/>
        <v>203194.57040999999</v>
      </c>
      <c r="F76" s="54">
        <f>+F75+F73+F62+F53+F45+F32+F22</f>
        <v>2636595.8311999999</v>
      </c>
      <c r="G76" s="54">
        <f t="shared" si="21"/>
        <v>1316533.0575999999</v>
      </c>
      <c r="H76" s="54">
        <f>+H75+H73+H62+H53+H45+H32+H22-1</f>
        <v>3638161.59</v>
      </c>
      <c r="I76" s="54">
        <f t="shared" si="21"/>
        <v>1317947.25</v>
      </c>
      <c r="J76" s="54">
        <f t="shared" si="21"/>
        <v>818648.406495</v>
      </c>
      <c r="K76" s="54">
        <f t="shared" si="21"/>
        <v>9717506</v>
      </c>
      <c r="L76" s="55">
        <f>+L75+L73+L62+L53+L45+L32+L22</f>
        <v>-27898498.120000001</v>
      </c>
      <c r="M76" s="54">
        <f>+M75+M73+M62+M53+M45+M32+M22+1</f>
        <v>2299394.79</v>
      </c>
      <c r="N76" s="54">
        <f t="shared" si="21"/>
        <v>110341208.027082</v>
      </c>
      <c r="O76" s="54">
        <f>+O75+O73+O62+O53+O45+O32+O22+1</f>
        <v>39051712.420000002</v>
      </c>
      <c r="P76" s="54">
        <f t="shared" si="21"/>
        <v>66651777.050000004</v>
      </c>
      <c r="Q76" s="54">
        <f t="shared" si="21"/>
        <v>3524704</v>
      </c>
      <c r="R76" s="54">
        <f t="shared" si="21"/>
        <v>3647309</v>
      </c>
      <c r="S76" s="54">
        <f t="shared" si="21"/>
        <v>33237225.251600001</v>
      </c>
      <c r="T76" s="54">
        <f>+T75+T73+T62+T53+T45+T32+T22-2</f>
        <v>253614490.69438702</v>
      </c>
      <c r="U76" s="54">
        <f t="shared" si="21"/>
        <v>240916611.00255698</v>
      </c>
      <c r="V76" s="54">
        <f>+T76-U76</f>
        <v>12697879.691830039</v>
      </c>
      <c r="W76" s="56">
        <f>IFERROR(V76/U76,0)</f>
        <v>5.2706534592981094E-2</v>
      </c>
      <c r="X76" s="4"/>
      <c r="Y76" s="4"/>
    </row>
    <row r="77" spans="1:25" s="3" customFormat="1" ht="3" customHeight="1" thickTop="1" x14ac:dyDescent="0.3">
      <c r="B77" s="57"/>
      <c r="C77" s="9"/>
      <c r="D77" s="9"/>
      <c r="E77" s="9"/>
      <c r="F77" s="9"/>
      <c r="G77" s="9"/>
      <c r="H77" s="9"/>
      <c r="I77" s="9"/>
      <c r="J77" s="9"/>
      <c r="K77" s="9"/>
      <c r="N77" s="9"/>
      <c r="O77" s="9"/>
      <c r="P77" s="9"/>
      <c r="Q77" s="9"/>
      <c r="R77" s="9"/>
      <c r="X77" s="4"/>
      <c r="Y77" s="4"/>
    </row>
    <row r="78" spans="1:25" s="3" customFormat="1" x14ac:dyDescent="0.3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9"/>
    </row>
    <row r="79" spans="1:25" x14ac:dyDescent="0.3">
      <c r="B79" s="6"/>
      <c r="C79" s="6"/>
      <c r="D79" s="6"/>
      <c r="E79" s="6"/>
      <c r="F79" s="6"/>
      <c r="G79" s="6"/>
      <c r="H79" s="6"/>
      <c r="I79" s="6"/>
      <c r="J79" s="6"/>
      <c r="K79" s="60"/>
      <c r="L79" s="6"/>
      <c r="M79" s="6"/>
      <c r="N79" s="6"/>
      <c r="O79" s="6"/>
      <c r="P79" s="6"/>
      <c r="Q79" s="6"/>
      <c r="R79" s="6"/>
      <c r="S79" s="6"/>
      <c r="T79" s="60"/>
      <c r="U79" s="61"/>
      <c r="V79" s="3"/>
    </row>
    <row r="81" spans="7:22" x14ac:dyDescent="0.3">
      <c r="V81" s="62">
        <f>+V22+V32+V45+V53+V62+V73</f>
        <v>13538118.691830009</v>
      </c>
    </row>
    <row r="82" spans="7:22" x14ac:dyDescent="0.3">
      <c r="V82" s="63">
        <f>+V81-V75</f>
        <v>12029252.691830009</v>
      </c>
    </row>
    <row r="83" spans="7:22" x14ac:dyDescent="0.3">
      <c r="J83" s="64"/>
    </row>
    <row r="84" spans="7:22" x14ac:dyDescent="0.3">
      <c r="G84" s="64"/>
      <c r="H84" s="64"/>
      <c r="I84" s="64"/>
      <c r="J84" s="64"/>
      <c r="U84" s="64"/>
    </row>
    <row r="85" spans="7:22" x14ac:dyDescent="0.3">
      <c r="U85" s="64"/>
    </row>
    <row r="86" spans="7:22" x14ac:dyDescent="0.3">
      <c r="H86" s="64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168BF-001D-4F78-A95F-8CD30C1D3C7A}">
  <sheetPr codeName="Sheet2"/>
  <dimension ref="A1:AA365"/>
  <sheetViews>
    <sheetView showGridLines="0" zoomScale="90" zoomScaleNormal="90" workbookViewId="0">
      <pane xSplit="3" ySplit="10" topLeftCell="D17" activePane="bottomRight" state="frozen"/>
      <selection activeCell="D64" sqref="D64"/>
      <selection pane="topRight" activeCell="D64" sqref="D64"/>
      <selection pane="bottomLeft" activeCell="D64" sqref="D64"/>
      <selection pane="bottomRight" activeCell="D64" sqref="D64"/>
    </sheetView>
  </sheetViews>
  <sheetFormatPr defaultColWidth="9.109375" defaultRowHeight="13.2" outlineLevelRow="1" outlineLevelCol="1" x14ac:dyDescent="0.25"/>
  <cols>
    <col min="1" max="2" width="9.109375" style="65" customWidth="1"/>
    <col min="3" max="3" width="37.109375" style="65" customWidth="1"/>
    <col min="4" max="5" width="14.44140625" style="65" customWidth="1" outlineLevel="1"/>
    <col min="6" max="6" width="12" style="65" customWidth="1" outlineLevel="1"/>
    <col min="7" max="7" width="15" style="65" customWidth="1" outlineLevel="1"/>
    <col min="8" max="8" width="12.109375" style="65" customWidth="1" outlineLevel="1"/>
    <col min="9" max="9" width="13.88671875" style="65" customWidth="1" outlineLevel="1"/>
    <col min="10" max="11" width="14.88671875" style="65" customWidth="1" outlineLevel="1"/>
    <col min="12" max="12" width="13.33203125" style="65" customWidth="1" outlineLevel="1"/>
    <col min="13" max="13" width="14.88671875" style="65" customWidth="1" outlineLevel="1"/>
    <col min="14" max="14" width="13.33203125" style="65" customWidth="1" outlineLevel="1"/>
    <col min="15" max="15" width="15.44140625" style="65" customWidth="1" outlineLevel="1"/>
    <col min="16" max="16" width="16.109375" style="65" customWidth="1" outlineLevel="1" collapsed="1"/>
    <col min="17" max="17" width="14.88671875" style="65" customWidth="1" outlineLevel="1"/>
    <col min="18" max="18" width="13.33203125" style="65" customWidth="1" outlineLevel="1"/>
    <col min="19" max="19" width="15.33203125" style="65" customWidth="1" outlineLevel="1"/>
    <col min="20" max="20" width="16.44140625" style="65" bestFit="1" customWidth="1"/>
    <col min="21" max="22" width="17.5546875" style="65" bestFit="1" customWidth="1"/>
    <col min="23" max="23" width="16.44140625" style="65" bestFit="1" customWidth="1"/>
    <col min="24" max="24" width="14" style="65" bestFit="1" customWidth="1"/>
    <col min="25" max="25" width="2.6640625" style="65" customWidth="1"/>
    <col min="26" max="26" width="12.33203125" style="65" customWidth="1"/>
    <col min="27" max="27" width="13" style="66" customWidth="1"/>
    <col min="28" max="16384" width="9.109375" style="65"/>
  </cols>
  <sheetData>
    <row r="1" spans="1:27" x14ac:dyDescent="0.25">
      <c r="Z1" s="66"/>
      <c r="AA1" s="65"/>
    </row>
    <row r="2" spans="1:27" x14ac:dyDescent="0.2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6"/>
      <c r="AA2" s="65"/>
    </row>
    <row r="3" spans="1:27" x14ac:dyDescent="0.25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6"/>
      <c r="AA3" s="65"/>
    </row>
    <row r="4" spans="1:27" x14ac:dyDescent="0.25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6"/>
      <c r="AA4" s="65"/>
    </row>
    <row r="5" spans="1:27" x14ac:dyDescent="0.25"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6"/>
      <c r="AA5" s="65"/>
    </row>
    <row r="6" spans="1:27" x14ac:dyDescent="0.25"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6"/>
      <c r="AA6" s="65"/>
    </row>
    <row r="7" spans="1:27" x14ac:dyDescent="0.25"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6"/>
      <c r="AA7" s="69"/>
    </row>
    <row r="8" spans="1:27" ht="12.75" customHeight="1" x14ac:dyDescent="0.25"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/>
      <c r="V8" s="70"/>
      <c r="W8" s="70"/>
      <c r="X8" s="70"/>
      <c r="Y8" s="70"/>
      <c r="Z8" s="66"/>
      <c r="AA8" s="65"/>
    </row>
    <row r="9" spans="1:27" ht="30" customHeight="1" x14ac:dyDescent="0.25">
      <c r="C9" s="66"/>
      <c r="D9" s="72"/>
      <c r="E9" s="72"/>
      <c r="F9" s="72"/>
      <c r="G9" s="66"/>
      <c r="H9" s="73"/>
      <c r="I9" s="73"/>
      <c r="J9" s="73"/>
      <c r="K9" s="73"/>
      <c r="L9" s="66"/>
      <c r="M9" s="66"/>
      <c r="N9" s="73"/>
      <c r="O9" s="66"/>
      <c r="P9" s="73"/>
      <c r="Q9" s="73"/>
      <c r="R9" s="66"/>
      <c r="S9" s="73"/>
      <c r="T9" s="73"/>
      <c r="U9" s="74"/>
      <c r="V9" s="70"/>
      <c r="W9" s="70"/>
      <c r="X9" s="70"/>
      <c r="Y9" s="70"/>
      <c r="Z9" s="66"/>
      <c r="AA9" s="69"/>
    </row>
    <row r="10" spans="1:27" s="75" customFormat="1" ht="38.25" customHeight="1" x14ac:dyDescent="0.25">
      <c r="C10" s="76" t="s">
        <v>1</v>
      </c>
      <c r="D10" s="77" t="s">
        <v>2</v>
      </c>
      <c r="E10" s="77" t="s">
        <v>3</v>
      </c>
      <c r="F10" s="77" t="s">
        <v>4</v>
      </c>
      <c r="G10" s="77" t="s">
        <v>5</v>
      </c>
      <c r="H10" s="77" t="s">
        <v>6</v>
      </c>
      <c r="I10" s="77" t="s">
        <v>7</v>
      </c>
      <c r="J10" s="77" t="s">
        <v>87</v>
      </c>
      <c r="K10" s="77" t="s">
        <v>9</v>
      </c>
      <c r="L10" s="77" t="s">
        <v>10</v>
      </c>
      <c r="M10" s="77" t="s">
        <v>11</v>
      </c>
      <c r="N10" s="77" t="s">
        <v>12</v>
      </c>
      <c r="O10" s="77" t="s">
        <v>13</v>
      </c>
      <c r="P10" s="77" t="s">
        <v>14</v>
      </c>
      <c r="Q10" s="77" t="s">
        <v>15</v>
      </c>
      <c r="R10" s="77" t="s">
        <v>16</v>
      </c>
      <c r="S10" s="77" t="s">
        <v>17</v>
      </c>
      <c r="T10" s="77" t="s">
        <v>18</v>
      </c>
      <c r="U10" s="77" t="s">
        <v>19</v>
      </c>
      <c r="V10" s="77" t="s">
        <v>88</v>
      </c>
      <c r="W10" s="77" t="s">
        <v>89</v>
      </c>
      <c r="X10" s="77" t="s">
        <v>90</v>
      </c>
      <c r="Y10" s="78"/>
    </row>
    <row r="11" spans="1:27" ht="12.75" customHeight="1" x14ac:dyDescent="0.25">
      <c r="A11" s="65">
        <v>511101</v>
      </c>
      <c r="B11" s="79">
        <v>511101</v>
      </c>
      <c r="C11" s="80" t="s">
        <v>23</v>
      </c>
      <c r="D11" s="81">
        <v>1831977.6216</v>
      </c>
      <c r="E11" s="81">
        <v>592281</v>
      </c>
      <c r="F11" s="81">
        <f>IFERROR(VLOOKUP($B11,'OMF by Acct'!$A:$T,5,0),0)</f>
        <v>102819.0384</v>
      </c>
      <c r="G11" s="81">
        <f>IFERROR(VLOOKUP($B11,'OMF by Acct'!$A:$T,6,0),0)</f>
        <v>1465399.8311999999</v>
      </c>
      <c r="H11" s="81">
        <f>IFERROR(VLOOKUP($B11,'OMF by Acct'!$A:$T,7,0),0)</f>
        <v>1036710.0575999999</v>
      </c>
      <c r="I11" s="81">
        <v>1173309.5928</v>
      </c>
      <c r="J11" s="81">
        <f>IFERROR(VLOOKUP($B11,'OMF by Acct'!$A:$T,9,0),0)</f>
        <v>1102194</v>
      </c>
      <c r="K11" s="82">
        <f>IFERROR(VLOOKUP($B11,'OMF by Acct'!$A:$T,10,0),0)</f>
        <v>547104.85919999995</v>
      </c>
      <c r="L11" s="82">
        <f>IFERROR(VLOOKUP($B11,'OMF by Acct'!$A:$T,11,0),0)</f>
        <v>2210274</v>
      </c>
      <c r="M11" s="83">
        <f>IFERROR(VLOOKUP($B11,'OMF by Acct'!$A:$T,12,0),0)</f>
        <v>-3077260.12</v>
      </c>
      <c r="N11" s="82">
        <v>1085635.1528</v>
      </c>
      <c r="O11" s="82">
        <f>IFERROR(VLOOKUP($B11,'OMF by Acct'!$A:$T,14,0),0)</f>
        <v>15357782.84</v>
      </c>
      <c r="P11" s="82">
        <v>11442115</v>
      </c>
      <c r="Q11" s="82">
        <v>12282053</v>
      </c>
      <c r="R11" s="81">
        <f>IFERROR(VLOOKUP($B11,'OMF by Acct'!$A:$T,17,0),0)</f>
        <v>2869383</v>
      </c>
      <c r="S11" s="81">
        <v>3185217.0416000001</v>
      </c>
      <c r="T11" s="81">
        <v>8533287.2016000003</v>
      </c>
      <c r="U11" s="84">
        <f>SUM(D11:T11)+1</f>
        <v>61740284.116799995</v>
      </c>
      <c r="V11" s="81">
        <v>58426502.640400007</v>
      </c>
      <c r="W11" s="85">
        <f>U11-V11</f>
        <v>3313781.4763999879</v>
      </c>
      <c r="X11" s="86">
        <f>IF(V11=0,100%,W11/V11)</f>
        <v>5.6717094582837767E-2</v>
      </c>
      <c r="Y11" s="86"/>
      <c r="Z11" s="87"/>
    </row>
    <row r="12" spans="1:27" ht="12" customHeight="1" x14ac:dyDescent="0.25">
      <c r="B12" s="79">
        <v>511202</v>
      </c>
      <c r="C12" s="80" t="s">
        <v>24</v>
      </c>
      <c r="D12" s="88">
        <v>0</v>
      </c>
      <c r="E12" s="88">
        <f>IFERROR(VLOOKUP($B12,'OMF by Acct'!$A:$T,4,0),0)</f>
        <v>0</v>
      </c>
      <c r="F12" s="88">
        <f>IFERROR(VLOOKUP($B12,'OMF by Acct'!$A:$T,5,0),0)</f>
        <v>0</v>
      </c>
      <c r="G12" s="88">
        <f>IFERROR(VLOOKUP($B12,'OMF by Acct'!$A:$T,6,0),0)</f>
        <v>90000</v>
      </c>
      <c r="H12" s="88">
        <f>IFERROR(VLOOKUP($B12,'OMF by Acct'!$A:$T,7,0),0)</f>
        <v>0</v>
      </c>
      <c r="I12" s="88">
        <v>158448</v>
      </c>
      <c r="J12" s="88">
        <f>IFERROR(VLOOKUP($B12,'OMF by Acct'!$A:$T,9,0),0)</f>
        <v>0</v>
      </c>
      <c r="K12" s="89">
        <f>IFERROR(VLOOKUP($B12,'OMF by Acct'!$A:$T,10,0),0)</f>
        <v>0</v>
      </c>
      <c r="L12" s="89">
        <f>IFERROR(VLOOKUP($B12,'OMF by Acct'!$A:$T,11,0),0)</f>
        <v>0</v>
      </c>
      <c r="M12" s="90">
        <f>IFERROR(VLOOKUP($B12,'OMF by Acct'!$A:$T,12,0),0)</f>
        <v>0</v>
      </c>
      <c r="N12" s="89">
        <f>+'OMF by Acct'!M13</f>
        <v>0</v>
      </c>
      <c r="O12" s="89">
        <f>IFERROR(VLOOKUP($B12,'OMF by Acct'!$A:$T,14,0),0)</f>
        <v>0</v>
      </c>
      <c r="P12" s="89">
        <v>0</v>
      </c>
      <c r="Q12" s="89">
        <v>0</v>
      </c>
      <c r="R12" s="88">
        <f>IFERROR(VLOOKUP($B12,'OMF by Acct'!$A:$T,17,0),0)</f>
        <v>0</v>
      </c>
      <c r="S12" s="88">
        <v>0</v>
      </c>
      <c r="T12" s="88">
        <v>0</v>
      </c>
      <c r="U12" s="91">
        <f t="shared" ref="U12:U75" si="0">SUM(D12:T12)</f>
        <v>248448</v>
      </c>
      <c r="V12" s="88">
        <v>225264</v>
      </c>
      <c r="W12" s="92">
        <f t="shared" ref="W12:W75" si="1">U12-V12</f>
        <v>23184</v>
      </c>
      <c r="X12" s="86">
        <f t="shared" ref="X12:X75" si="2">IF(V12=0,100%,W12/V12)</f>
        <v>0.10291924142339655</v>
      </c>
      <c r="Y12" s="86"/>
      <c r="Z12" s="87"/>
    </row>
    <row r="13" spans="1:27" ht="12" customHeight="1" x14ac:dyDescent="0.25">
      <c r="A13" s="65">
        <v>511301</v>
      </c>
      <c r="B13" s="79">
        <v>511301</v>
      </c>
      <c r="C13" s="80" t="s">
        <v>25</v>
      </c>
      <c r="D13" s="88">
        <v>0</v>
      </c>
      <c r="E13" s="88">
        <f>IFERROR(VLOOKUP($B13,'OMF by Acct'!$A:$T,4,0),0)</f>
        <v>0</v>
      </c>
      <c r="F13" s="88">
        <f>IFERROR(VLOOKUP($B13,'OMF by Acct'!$A:$T,5,0),0)</f>
        <v>0</v>
      </c>
      <c r="G13" s="88">
        <f>IFERROR(VLOOKUP($B13,'OMF by Acct'!$A:$T,6,0),0)</f>
        <v>4000</v>
      </c>
      <c r="H13" s="88">
        <f>IFERROR(VLOOKUP($B13,'OMF by Acct'!$A:$T,7,0),0)</f>
        <v>0</v>
      </c>
      <c r="I13" s="88">
        <v>0</v>
      </c>
      <c r="J13" s="88">
        <f>IFERROR(VLOOKUP($B13,'OMF by Acct'!$A:$T,9,0),0)</f>
        <v>0</v>
      </c>
      <c r="K13" s="89">
        <f>IFERROR(VLOOKUP($B13,'OMF by Acct'!$A:$T,10,0),0)</f>
        <v>0</v>
      </c>
      <c r="L13" s="89">
        <f>IFERROR(VLOOKUP($B13,'OMF by Acct'!$A:$T,11,0),0)</f>
        <v>35000</v>
      </c>
      <c r="M13" s="90">
        <f>IFERROR(VLOOKUP($B13,'OMF by Acct'!$A:$T,12,0),0)</f>
        <v>0</v>
      </c>
      <c r="N13" s="89">
        <v>0</v>
      </c>
      <c r="O13" s="89">
        <f>IFERROR(VLOOKUP($B13,'OMF by Acct'!$A:$T,14,0),0)</f>
        <v>275466.18999999994</v>
      </c>
      <c r="P13" s="89">
        <v>88215</v>
      </c>
      <c r="Q13" s="89">
        <v>524305.84</v>
      </c>
      <c r="R13" s="88">
        <f>IFERROR(VLOOKUP($B13,'OMF by Acct'!$A:$T,17,0),0)</f>
        <v>0</v>
      </c>
      <c r="S13" s="88">
        <v>0</v>
      </c>
      <c r="T13" s="88">
        <v>23270</v>
      </c>
      <c r="U13" s="91">
        <f t="shared" si="0"/>
        <v>950257.02999999991</v>
      </c>
      <c r="V13" s="88">
        <v>999999.48</v>
      </c>
      <c r="W13" s="92">
        <f t="shared" si="1"/>
        <v>-49742.45000000007</v>
      </c>
      <c r="X13" s="86">
        <f t="shared" si="2"/>
        <v>-4.9742475866087522E-2</v>
      </c>
      <c r="Y13" s="86"/>
      <c r="Z13" s="93"/>
      <c r="AA13" s="94"/>
    </row>
    <row r="14" spans="1:27" ht="12" customHeight="1" x14ac:dyDescent="0.25">
      <c r="A14" s="65">
        <v>512101</v>
      </c>
      <c r="B14" s="79">
        <v>512101</v>
      </c>
      <c r="C14" s="80" t="s">
        <v>26</v>
      </c>
      <c r="D14" s="88">
        <v>0</v>
      </c>
      <c r="E14" s="88">
        <f>IFERROR(VLOOKUP($B14,'OMF by Acct'!$A:$T,4,0),0)</f>
        <v>0</v>
      </c>
      <c r="F14" s="88">
        <f>IFERROR(VLOOKUP($B14,'OMF by Acct'!$A:$T,5,0),0)</f>
        <v>0</v>
      </c>
      <c r="G14" s="88">
        <f>IFERROR(VLOOKUP($B14,'OMF by Acct'!$A:$T,6,0),0)</f>
        <v>0</v>
      </c>
      <c r="H14" s="88">
        <f>IFERROR(VLOOKUP($B14,'OMF by Acct'!$A:$T,7,0),0)</f>
        <v>0</v>
      </c>
      <c r="I14" s="88">
        <v>0</v>
      </c>
      <c r="J14" s="88">
        <f>IFERROR(VLOOKUP($B14,'OMF by Acct'!$A:$T,9,0),0)</f>
        <v>0</v>
      </c>
      <c r="K14" s="89">
        <f>IFERROR(VLOOKUP($B14,'OMF by Acct'!$A:$T,10,0),0)</f>
        <v>0</v>
      </c>
      <c r="L14" s="89">
        <f>IFERROR(VLOOKUP($B14,'OMF by Acct'!$A:$T,11,0),0)</f>
        <v>0</v>
      </c>
      <c r="M14" s="90">
        <v>7618675</v>
      </c>
      <c r="N14" s="89">
        <v>0</v>
      </c>
      <c r="O14" s="89">
        <f>IFERROR(VLOOKUP($B14,'OMF by Acct'!$A:$T,14,0),0)</f>
        <v>0</v>
      </c>
      <c r="P14" s="89">
        <v>0</v>
      </c>
      <c r="Q14" s="89">
        <v>0</v>
      </c>
      <c r="R14" s="88">
        <f>IFERROR(VLOOKUP($B14,'OMF by Acct'!$A:$T,17,0),0)</f>
        <v>0</v>
      </c>
      <c r="S14" s="88">
        <v>0</v>
      </c>
      <c r="T14" s="88">
        <v>0</v>
      </c>
      <c r="U14" s="91">
        <f t="shared" si="0"/>
        <v>7618675</v>
      </c>
      <c r="V14" s="88">
        <v>7223123.1199999992</v>
      </c>
      <c r="W14" s="92">
        <f t="shared" si="1"/>
        <v>395551.88000000082</v>
      </c>
      <c r="X14" s="86">
        <f t="shared" si="2"/>
        <v>5.476189086473731E-2</v>
      </c>
      <c r="Y14" s="86"/>
      <c r="Z14" s="87"/>
      <c r="AA14" s="65"/>
    </row>
    <row r="15" spans="1:27" ht="12" customHeight="1" x14ac:dyDescent="0.25">
      <c r="A15" s="65">
        <v>512401</v>
      </c>
      <c r="B15" s="79">
        <v>512401</v>
      </c>
      <c r="C15" s="80" t="s">
        <v>27</v>
      </c>
      <c r="D15" s="88">
        <v>240817.571261</v>
      </c>
      <c r="E15" s="88">
        <v>67740</v>
      </c>
      <c r="F15" s="88">
        <f>IFERROR(VLOOKUP($B15,'OMF by Acct'!$A:$T,5,0),0)</f>
        <v>14754.532010000001</v>
      </c>
      <c r="G15" s="88">
        <f>IFERROR(VLOOKUP($B15,'OMF by Acct'!$A:$T,6,0),0)</f>
        <v>190608</v>
      </c>
      <c r="H15" s="88">
        <f>IFERROR(VLOOKUP($B15,'OMF by Acct'!$A:$T,7,0),0)</f>
        <v>148768</v>
      </c>
      <c r="I15" s="88">
        <f>+'OMF by Acct'!H16</f>
        <v>155686</v>
      </c>
      <c r="J15" s="88">
        <f>IFERROR(VLOOKUP($B15,'OMF by Acct'!$A:$T,9,0),0)</f>
        <v>151232</v>
      </c>
      <c r="K15" s="89">
        <f>IFERROR(VLOOKUP($B15,'OMF by Acct'!$A:$T,10,0),0)</f>
        <v>78509.547294999997</v>
      </c>
      <c r="L15" s="89">
        <f>IFERROR(VLOOKUP($B15,'OMF by Acct'!$A:$T,11,0),0)</f>
        <v>283816</v>
      </c>
      <c r="M15" s="90">
        <f>IFERROR(VLOOKUP($B15,'OMF by Acct'!$A:$T,12,0),0)</f>
        <v>0</v>
      </c>
      <c r="N15" s="89">
        <v>155788.64442699999</v>
      </c>
      <c r="O15" s="89">
        <f>IFERROR(VLOOKUP($B15,'OMF by Acct'!$A:$T,14,0),0)</f>
        <v>2093254.9970820001</v>
      </c>
      <c r="P15" s="89">
        <v>1599831</v>
      </c>
      <c r="Q15" s="89">
        <v>1714664.5643559999</v>
      </c>
      <c r="R15" s="88">
        <f>IFERROR(VLOOKUP($B15,'OMF by Acct'!$A:$T,17,0),0)</f>
        <v>385206</v>
      </c>
      <c r="S15" s="88">
        <v>441834</v>
      </c>
      <c r="T15" s="88">
        <v>1129092</v>
      </c>
      <c r="U15" s="91">
        <f t="shared" si="0"/>
        <v>8851602.8564309999</v>
      </c>
      <c r="V15" s="88">
        <v>8352298.252156999</v>
      </c>
      <c r="W15" s="92">
        <f t="shared" si="1"/>
        <v>499304.60427400097</v>
      </c>
      <c r="X15" s="86">
        <f t="shared" si="2"/>
        <v>5.9780504622791039E-2</v>
      </c>
      <c r="Y15" s="86"/>
      <c r="Z15" s="87"/>
      <c r="AA15" s="65"/>
    </row>
    <row r="16" spans="1:27" ht="12" customHeight="1" x14ac:dyDescent="0.25">
      <c r="B16" s="79">
        <v>512402</v>
      </c>
      <c r="C16" s="80" t="s">
        <v>28</v>
      </c>
      <c r="D16" s="88">
        <v>0</v>
      </c>
      <c r="E16" s="88">
        <f>IFERROR(VLOOKUP($B16,'OMF by Acct'!$A:$T,4,0),0)</f>
        <v>0</v>
      </c>
      <c r="F16" s="88">
        <f>IFERROR(VLOOKUP($B16,'OMF by Acct'!$A:$T,5,0),0)</f>
        <v>0</v>
      </c>
      <c r="G16" s="88">
        <f>IFERROR(VLOOKUP($B16,'OMF by Acct'!$A:$T,6,0),0)</f>
        <v>1305</v>
      </c>
      <c r="H16" s="88">
        <f>IFERROR(VLOOKUP($B16,'OMF by Acct'!$A:$T,7,0),0)</f>
        <v>0</v>
      </c>
      <c r="I16" s="88">
        <f>+'OMF by Acct'!H17</f>
        <v>2298</v>
      </c>
      <c r="J16" s="88">
        <f>IFERROR(VLOOKUP($B16,'OMF by Acct'!$A:$T,9,0),0)</f>
        <v>0</v>
      </c>
      <c r="K16" s="89">
        <f>IFERROR(VLOOKUP($B16,'OMF by Acct'!$A:$T,10,0),0)</f>
        <v>0</v>
      </c>
      <c r="L16" s="89">
        <f>IFERROR(VLOOKUP($B16,'OMF by Acct'!$A:$T,11,0),0)</f>
        <v>0</v>
      </c>
      <c r="M16" s="90">
        <f>IFERROR(VLOOKUP($B16,'OMF by Acct'!$A:$T,12,0),0)</f>
        <v>0</v>
      </c>
      <c r="N16" s="89">
        <v>0</v>
      </c>
      <c r="O16" s="89">
        <f>IFERROR(VLOOKUP($B16,'OMF by Acct'!$A:$T,14,0),0)</f>
        <v>0</v>
      </c>
      <c r="P16" s="89">
        <v>0</v>
      </c>
      <c r="Q16" s="89">
        <v>0</v>
      </c>
      <c r="R16" s="88">
        <f>IFERROR(VLOOKUP($B16,'OMF by Acct'!$A:$T,17,0),0)</f>
        <v>0</v>
      </c>
      <c r="S16" s="88">
        <v>0</v>
      </c>
      <c r="T16" s="88">
        <v>0</v>
      </c>
      <c r="U16" s="91">
        <f t="shared" si="0"/>
        <v>3603</v>
      </c>
      <c r="V16" s="88">
        <v>34081.35</v>
      </c>
      <c r="W16" s="92">
        <f t="shared" si="1"/>
        <v>-30478.35</v>
      </c>
      <c r="X16" s="95">
        <v>0</v>
      </c>
      <c r="Y16" s="86"/>
      <c r="Z16" s="87"/>
      <c r="AA16" s="65"/>
    </row>
    <row r="17" spans="1:27" ht="12" customHeight="1" x14ac:dyDescent="0.25">
      <c r="A17" s="65">
        <v>512501</v>
      </c>
      <c r="B17" s="79">
        <v>512501</v>
      </c>
      <c r="C17" s="80" t="s">
        <v>30</v>
      </c>
      <c r="D17" s="88">
        <v>0</v>
      </c>
      <c r="E17" s="88">
        <f>IFERROR(VLOOKUP($B17,'OMF by Acct'!$A:$T,4,0),0)</f>
        <v>0</v>
      </c>
      <c r="F17" s="88">
        <f>IFERROR(VLOOKUP($B17,'OMF by Acct'!$A:$T,5,0),0)</f>
        <v>0</v>
      </c>
      <c r="G17" s="88">
        <f>IFERROR(VLOOKUP($B17,'OMF by Acct'!$A:$T,6,0),0)</f>
        <v>33100</v>
      </c>
      <c r="H17" s="88">
        <f>IFERROR(VLOOKUP($B17,'OMF by Acct'!$A:$T,7,0),0)</f>
        <v>0</v>
      </c>
      <c r="I17" s="88">
        <v>0</v>
      </c>
      <c r="J17" s="88">
        <f>IFERROR(VLOOKUP($B17,'OMF by Acct'!$A:$T,9,0),0)</f>
        <v>0</v>
      </c>
      <c r="K17" s="89">
        <f>IFERROR(VLOOKUP($B17,'OMF by Acct'!$A:$T,10,0),0)</f>
        <v>0</v>
      </c>
      <c r="L17" s="89">
        <f>IFERROR(VLOOKUP($B17,'OMF by Acct'!$A:$T,11,0),0)</f>
        <v>0</v>
      </c>
      <c r="M17" s="90">
        <f>IFERROR(VLOOKUP($B17,'OMF by Acct'!$A:$T,12,0),0)</f>
        <v>0</v>
      </c>
      <c r="N17" s="89">
        <v>0</v>
      </c>
      <c r="O17" s="89">
        <f>IFERROR(VLOOKUP($B17,'OMF by Acct'!$A:$T,14,0),0)</f>
        <v>0</v>
      </c>
      <c r="P17" s="89">
        <v>0</v>
      </c>
      <c r="Q17" s="89">
        <v>0</v>
      </c>
      <c r="R17" s="88">
        <f>IFERROR(VLOOKUP($B17,'OMF by Acct'!$A:$T,17,0),0)</f>
        <v>0</v>
      </c>
      <c r="S17" s="88">
        <v>0</v>
      </c>
      <c r="T17" s="88">
        <v>0</v>
      </c>
      <c r="U17" s="91">
        <f t="shared" si="0"/>
        <v>33100</v>
      </c>
      <c r="V17" s="88">
        <v>33100</v>
      </c>
      <c r="W17" s="95">
        <v>0</v>
      </c>
      <c r="X17" s="95">
        <v>0</v>
      </c>
      <c r="Y17" s="86"/>
      <c r="Z17" s="66"/>
      <c r="AA17" s="65"/>
    </row>
    <row r="18" spans="1:27" ht="12" customHeight="1" x14ac:dyDescent="0.25">
      <c r="A18" s="65">
        <v>512601</v>
      </c>
      <c r="B18" s="79">
        <v>512601</v>
      </c>
      <c r="C18" s="80" t="s">
        <v>31</v>
      </c>
      <c r="D18" s="88">
        <v>0</v>
      </c>
      <c r="E18" s="88">
        <f>IFERROR(VLOOKUP($B18,'OMF by Acct'!$A:$T,4,0),0)</f>
        <v>0</v>
      </c>
      <c r="F18" s="88">
        <f>IFERROR(VLOOKUP($B18,'OMF by Acct'!$A:$T,5,0),0)</f>
        <v>0</v>
      </c>
      <c r="G18" s="88">
        <f>IFERROR(VLOOKUP($B18,'OMF by Acct'!$A:$T,6,0),0)</f>
        <v>0</v>
      </c>
      <c r="H18" s="88">
        <f>IFERROR(VLOOKUP($B18,'OMF by Acct'!$A:$T,7,0),0)</f>
        <v>0</v>
      </c>
      <c r="I18" s="88">
        <v>0</v>
      </c>
      <c r="J18" s="88">
        <f>IFERROR(VLOOKUP($B18,'OMF by Acct'!$A:$T,9,0),0)</f>
        <v>0</v>
      </c>
      <c r="K18" s="89">
        <f>IFERROR(VLOOKUP($B18,'OMF by Acct'!$A:$T,10,0),0)</f>
        <v>0</v>
      </c>
      <c r="L18" s="89">
        <f>IFERROR(VLOOKUP($B18,'OMF by Acct'!$A:$T,11,0),0)</f>
        <v>0</v>
      </c>
      <c r="M18" s="90">
        <f>IFERROR(VLOOKUP($B18,'OMF by Acct'!$A:$T,12,0),0)</f>
        <v>100000</v>
      </c>
      <c r="N18" s="89">
        <v>0</v>
      </c>
      <c r="O18" s="89">
        <f>IFERROR(VLOOKUP($B18,'OMF by Acct'!$A:$T,14,0),0)</f>
        <v>0</v>
      </c>
      <c r="P18" s="89">
        <v>0</v>
      </c>
      <c r="Q18" s="89">
        <v>0</v>
      </c>
      <c r="R18" s="88">
        <f>IFERROR(VLOOKUP($B18,'OMF by Acct'!$A:$T,17,0),0)</f>
        <v>0</v>
      </c>
      <c r="S18" s="88">
        <v>0</v>
      </c>
      <c r="T18" s="88">
        <v>0</v>
      </c>
      <c r="U18" s="91">
        <f t="shared" si="0"/>
        <v>100000</v>
      </c>
      <c r="V18" s="88">
        <v>100000</v>
      </c>
      <c r="W18" s="95">
        <v>0</v>
      </c>
      <c r="X18" s="95">
        <v>0</v>
      </c>
      <c r="Y18" s="86"/>
      <c r="Z18" s="66"/>
      <c r="AA18" s="65"/>
    </row>
    <row r="19" spans="1:27" ht="12" customHeight="1" x14ac:dyDescent="0.25">
      <c r="A19" s="65">
        <v>512701</v>
      </c>
      <c r="B19" s="79">
        <v>512701</v>
      </c>
      <c r="C19" s="80" t="s">
        <v>33</v>
      </c>
      <c r="D19" s="88">
        <v>0</v>
      </c>
      <c r="E19" s="88">
        <f>IFERROR(VLOOKUP($B19,'OMF by Acct'!$A:$T,4,0),0)</f>
        <v>0</v>
      </c>
      <c r="F19" s="88">
        <f>IFERROR(VLOOKUP($B19,'OMF by Acct'!$A:$T,5,0),0)</f>
        <v>0</v>
      </c>
      <c r="G19" s="88">
        <f>IFERROR(VLOOKUP($B19,'OMF by Acct'!$A:$T,6,0),0)</f>
        <v>0</v>
      </c>
      <c r="H19" s="88">
        <f>IFERROR(VLOOKUP($B19,'OMF by Acct'!$A:$T,7,0),0)</f>
        <v>0</v>
      </c>
      <c r="I19" s="88">
        <v>0</v>
      </c>
      <c r="J19" s="88">
        <f>IFERROR(VLOOKUP($B19,'OMF by Acct'!$A:$T,9,0),0)</f>
        <v>0</v>
      </c>
      <c r="K19" s="89">
        <f>IFERROR(VLOOKUP($B19,'OMF by Acct'!$A:$T,10,0),0)</f>
        <v>0</v>
      </c>
      <c r="L19" s="89">
        <f>IFERROR(VLOOKUP($B19,'OMF by Acct'!$A:$T,11,0),0)</f>
        <v>0</v>
      </c>
      <c r="M19" s="90">
        <f>IFERROR(VLOOKUP($B19,'OMF by Acct'!$A:$T,12,0),0)</f>
        <v>0</v>
      </c>
      <c r="N19" s="89">
        <v>0</v>
      </c>
      <c r="O19" s="89">
        <f>IFERROR(VLOOKUP($B19,'OMF by Acct'!$A:$T,14,0),0)</f>
        <v>0</v>
      </c>
      <c r="P19" s="89">
        <v>0</v>
      </c>
      <c r="Q19" s="89">
        <v>0</v>
      </c>
      <c r="R19" s="88">
        <f>IFERROR(VLOOKUP($B19,'OMF by Acct'!$A:$T,17,0),0)</f>
        <v>0</v>
      </c>
      <c r="S19" s="88">
        <v>0</v>
      </c>
      <c r="T19" s="88">
        <v>0</v>
      </c>
      <c r="U19" s="91">
        <f t="shared" si="0"/>
        <v>0</v>
      </c>
      <c r="V19" s="88">
        <v>0</v>
      </c>
      <c r="W19" s="95">
        <v>0</v>
      </c>
      <c r="X19" s="95">
        <v>0</v>
      </c>
      <c r="Y19" s="86"/>
      <c r="Z19" s="66"/>
      <c r="AA19" s="65"/>
    </row>
    <row r="20" spans="1:27" ht="12" customHeight="1" x14ac:dyDescent="0.25">
      <c r="A20" s="65">
        <v>521101</v>
      </c>
      <c r="B20" s="79">
        <v>521101</v>
      </c>
      <c r="C20" s="80" t="s">
        <v>73</v>
      </c>
      <c r="D20" s="88">
        <v>6100</v>
      </c>
      <c r="E20" s="88">
        <f>IFERROR(VLOOKUP($B20,'OMF by Acct'!$A:$T,4,0),0)</f>
        <v>15000</v>
      </c>
      <c r="F20" s="88">
        <f>IFERROR(VLOOKUP($B20,'OMF by Acct'!$A:$T,5,0),0)</f>
        <v>63918</v>
      </c>
      <c r="G20" s="88">
        <f>IFERROR(VLOOKUP($B20,'OMF by Acct'!$A:$T,6,0),0)</f>
        <v>20000</v>
      </c>
      <c r="H20" s="88">
        <f>IFERROR(VLOOKUP($B20,'OMF by Acct'!$A:$T,7,0),0)</f>
        <v>1000</v>
      </c>
      <c r="I20" s="88">
        <v>2300</v>
      </c>
      <c r="J20" s="88">
        <f>IFERROR(VLOOKUP($B20,'OMF by Acct'!$A:$T,9,0),0)</f>
        <v>231</v>
      </c>
      <c r="K20" s="89">
        <f>IFERROR(VLOOKUP($B20,'OMF by Acct'!$A:$T,10,0),0)</f>
        <v>1350</v>
      </c>
      <c r="L20" s="89">
        <f>IFERROR(VLOOKUP($B20,'OMF by Acct'!$A:$T,11,0),0)</f>
        <v>9785</v>
      </c>
      <c r="M20" s="90">
        <f>IFERROR(VLOOKUP($B20,'OMF by Acct'!$A:$T,12,0),0)</f>
        <v>0</v>
      </c>
      <c r="N20" s="89">
        <v>500</v>
      </c>
      <c r="O20" s="89">
        <f>IFERROR(VLOOKUP($B20,'OMF by Acct'!$A:$T,14,0),0)</f>
        <v>34880</v>
      </c>
      <c r="P20" s="89">
        <v>2000</v>
      </c>
      <c r="Q20" s="89">
        <v>13900</v>
      </c>
      <c r="R20" s="88">
        <f>IFERROR(VLOOKUP($B20,'OMF by Acct'!$A:$T,17,0),0)</f>
        <v>8000</v>
      </c>
      <c r="S20" s="88">
        <v>500</v>
      </c>
      <c r="T20" s="88">
        <v>1000</v>
      </c>
      <c r="U20" s="91">
        <f t="shared" si="0"/>
        <v>180464</v>
      </c>
      <c r="V20" s="88">
        <v>155424</v>
      </c>
      <c r="W20" s="92">
        <f t="shared" si="1"/>
        <v>25040</v>
      </c>
      <c r="X20" s="86">
        <f t="shared" si="2"/>
        <v>0.16110767963763639</v>
      </c>
      <c r="Y20" s="86"/>
      <c r="Z20" s="66"/>
      <c r="AA20" s="65"/>
    </row>
    <row r="21" spans="1:27" ht="12" customHeight="1" x14ac:dyDescent="0.25">
      <c r="A21" s="65">
        <v>521201</v>
      </c>
      <c r="B21" s="79">
        <v>521201</v>
      </c>
      <c r="C21" s="80" t="s">
        <v>35</v>
      </c>
      <c r="D21" s="88">
        <v>0</v>
      </c>
      <c r="E21" s="88">
        <f>IFERROR(VLOOKUP($B21,'OMF by Acct'!$A:$T,4,0),0)</f>
        <v>45000</v>
      </c>
      <c r="F21" s="88">
        <f>IFERROR(VLOOKUP($B21,'OMF by Acct'!$A:$T,5,0),0)</f>
        <v>0</v>
      </c>
      <c r="G21" s="88">
        <v>403000</v>
      </c>
      <c r="H21" s="88">
        <f>IFERROR(VLOOKUP($B21,'OMF by Acct'!$A:$T,7,0),0)</f>
        <v>100000</v>
      </c>
      <c r="I21" s="88">
        <v>0</v>
      </c>
      <c r="J21" s="88">
        <f>IFERROR(VLOOKUP($B21,'OMF by Acct'!$A:$T,9,0),0)</f>
        <v>0</v>
      </c>
      <c r="K21" s="89">
        <f>IFERROR(VLOOKUP($B21,'OMF by Acct'!$A:$T,10,0),0)</f>
        <v>0</v>
      </c>
      <c r="L21" s="89">
        <f>IFERROR(VLOOKUP($B21,'OMF by Acct'!$A:$T,11,0),0)</f>
        <v>2432664</v>
      </c>
      <c r="M21" s="90">
        <f>IFERROR(VLOOKUP($B21,'OMF by Acct'!$A:$T,12,0),0)</f>
        <v>42000</v>
      </c>
      <c r="N21" s="89">
        <v>442900</v>
      </c>
      <c r="O21" s="89">
        <f>IFERROR(VLOOKUP($B21,'OMF by Acct'!$A:$T,14,0),0)</f>
        <v>14147100</v>
      </c>
      <c r="P21" s="89">
        <v>20000</v>
      </c>
      <c r="Q21" s="89">
        <v>1180000</v>
      </c>
      <c r="R21" s="88">
        <f>IFERROR(VLOOKUP($B21,'OMF by Acct'!$A:$T,17,0),0)</f>
        <v>150000</v>
      </c>
      <c r="S21" s="88">
        <v>0</v>
      </c>
      <c r="T21" s="88">
        <v>43342</v>
      </c>
      <c r="U21" s="91">
        <f t="shared" si="0"/>
        <v>19006006</v>
      </c>
      <c r="V21" s="88">
        <v>44643421.32</v>
      </c>
      <c r="W21" s="92">
        <f t="shared" si="1"/>
        <v>-25637415.32</v>
      </c>
      <c r="X21" s="86">
        <f t="shared" si="2"/>
        <v>-0.57427084578113607</v>
      </c>
      <c r="Y21" s="86"/>
      <c r="Z21" s="66"/>
      <c r="AA21" s="65"/>
    </row>
    <row r="22" spans="1:27" ht="12" customHeight="1" x14ac:dyDescent="0.25">
      <c r="A22" s="65">
        <v>521202</v>
      </c>
      <c r="B22" s="79">
        <v>521202</v>
      </c>
      <c r="C22" s="80" t="s">
        <v>36</v>
      </c>
      <c r="D22" s="88">
        <v>0</v>
      </c>
      <c r="E22" s="88">
        <f>IFERROR(VLOOKUP($B22,'OMF by Acct'!$A:$T,4,0),0)</f>
        <v>0</v>
      </c>
      <c r="F22" s="88">
        <f>IFERROR(VLOOKUP($B22,'OMF by Acct'!$A:$T,5,0),0)</f>
        <v>0</v>
      </c>
      <c r="G22" s="88">
        <f>IFERROR(VLOOKUP($B22,'OMF by Acct'!$A:$T,6,0),0)</f>
        <v>0</v>
      </c>
      <c r="H22" s="88">
        <f>IFERROR(VLOOKUP($B22,'OMF by Acct'!$A:$T,7,0),0)</f>
        <v>0</v>
      </c>
      <c r="I22" s="88">
        <v>2640000</v>
      </c>
      <c r="J22" s="88">
        <f>IFERROR(VLOOKUP($B22,'OMF by Acct'!$A:$T,9,0),0)</f>
        <v>0</v>
      </c>
      <c r="K22" s="89">
        <f>IFERROR(VLOOKUP($B22,'OMF by Acct'!$A:$T,10,0),0)</f>
        <v>0</v>
      </c>
      <c r="L22" s="89">
        <f>IFERROR(VLOOKUP($B22,'OMF by Acct'!$A:$T,11,0),0)</f>
        <v>0</v>
      </c>
      <c r="M22" s="90">
        <f>IFERROR(VLOOKUP($B22,'OMF by Acct'!$A:$T,12,0),0)</f>
        <v>0</v>
      </c>
      <c r="N22" s="89">
        <v>0</v>
      </c>
      <c r="O22" s="89">
        <f>IFERROR(VLOOKUP($B22,'OMF by Acct'!$A:$T,14,0),0)</f>
        <v>0</v>
      </c>
      <c r="P22" s="89">
        <v>0</v>
      </c>
      <c r="Q22" s="89">
        <v>0</v>
      </c>
      <c r="R22" s="88">
        <f>IFERROR(VLOOKUP($B22,'OMF by Acct'!$A:$T,17,0),0)</f>
        <v>0</v>
      </c>
      <c r="S22" s="88">
        <v>0</v>
      </c>
      <c r="T22" s="88">
        <v>0</v>
      </c>
      <c r="U22" s="91">
        <f t="shared" si="0"/>
        <v>2640000</v>
      </c>
      <c r="V22" s="88">
        <v>2690000</v>
      </c>
      <c r="W22" s="92">
        <f t="shared" si="1"/>
        <v>-50000</v>
      </c>
      <c r="X22" s="86">
        <f t="shared" si="2"/>
        <v>-1.858736059479554E-2</v>
      </c>
      <c r="Y22" s="86"/>
      <c r="Z22" s="66"/>
      <c r="AA22" s="65"/>
    </row>
    <row r="23" spans="1:27" ht="12" customHeight="1" x14ac:dyDescent="0.25">
      <c r="A23" s="65">
        <v>521203</v>
      </c>
      <c r="B23" s="79">
        <v>521203</v>
      </c>
      <c r="C23" s="80" t="s">
        <v>37</v>
      </c>
      <c r="D23" s="88">
        <v>200000</v>
      </c>
      <c r="E23" s="88">
        <f>IFERROR(VLOOKUP($B23,'OMF by Acct'!$A:$T,4,0),0)</f>
        <v>0</v>
      </c>
      <c r="F23" s="88">
        <f>IFERROR(VLOOKUP($B23,'OMF by Acct'!$A:$T,5,0),0)</f>
        <v>0</v>
      </c>
      <c r="G23" s="88">
        <f>IFERROR(VLOOKUP($B23,'OMF by Acct'!$A:$T,6,0),0)</f>
        <v>0</v>
      </c>
      <c r="H23" s="88">
        <f>IFERROR(VLOOKUP($B23,'OMF by Acct'!$A:$T,7,0),0)</f>
        <v>0</v>
      </c>
      <c r="I23" s="88">
        <v>0</v>
      </c>
      <c r="J23" s="88">
        <f>IFERROR(VLOOKUP($B23,'OMF by Acct'!$A:$T,9,0),0)</f>
        <v>0</v>
      </c>
      <c r="K23" s="89">
        <f>IFERROR(VLOOKUP($B23,'OMF by Acct'!$A:$T,10,0),0)</f>
        <v>0</v>
      </c>
      <c r="L23" s="89">
        <f>IFERROR(VLOOKUP($B23,'OMF by Acct'!$A:$T,11,0),0)</f>
        <v>0</v>
      </c>
      <c r="M23" s="90">
        <f>IFERROR(VLOOKUP($B23,'OMF by Acct'!$A:$T,12,0),0)</f>
        <v>0</v>
      </c>
      <c r="N23" s="89">
        <v>0</v>
      </c>
      <c r="O23" s="89">
        <f>IFERROR(VLOOKUP($B23,'OMF by Acct'!$A:$T,14,0),0)</f>
        <v>0</v>
      </c>
      <c r="P23" s="89">
        <v>0</v>
      </c>
      <c r="Q23" s="89">
        <v>0</v>
      </c>
      <c r="R23" s="88">
        <f>IFERROR(VLOOKUP($B23,'OMF by Acct'!$A:$T,17,0),0)</f>
        <v>0</v>
      </c>
      <c r="S23" s="88">
        <v>0</v>
      </c>
      <c r="T23" s="88">
        <v>0</v>
      </c>
      <c r="U23" s="91">
        <f t="shared" si="0"/>
        <v>200000</v>
      </c>
      <c r="V23" s="88">
        <v>200000</v>
      </c>
      <c r="W23" s="95">
        <v>0</v>
      </c>
      <c r="X23" s="95">
        <v>0</v>
      </c>
      <c r="Y23" s="86"/>
      <c r="Z23" s="66"/>
      <c r="AA23" s="65"/>
    </row>
    <row r="24" spans="1:27" ht="12" customHeight="1" x14ac:dyDescent="0.25">
      <c r="A24" s="65">
        <v>521204</v>
      </c>
      <c r="B24" s="79">
        <v>521204</v>
      </c>
      <c r="C24" s="80" t="s">
        <v>38</v>
      </c>
      <c r="D24" s="88">
        <v>0</v>
      </c>
      <c r="E24" s="88">
        <f>IFERROR(VLOOKUP($B24,'OMF by Acct'!$A:$T,4,0),0)</f>
        <v>0</v>
      </c>
      <c r="F24" s="88">
        <f>IFERROR(VLOOKUP($B24,'OMF by Acct'!$A:$T,5,0),0)</f>
        <v>0</v>
      </c>
      <c r="G24" s="88">
        <f>IFERROR(VLOOKUP($B24,'OMF by Acct'!$A:$T,6,0),0)</f>
        <v>0</v>
      </c>
      <c r="H24" s="88">
        <f>IFERROR(VLOOKUP($B24,'OMF by Acct'!$A:$T,7,0),0)</f>
        <v>0</v>
      </c>
      <c r="I24" s="88">
        <v>0</v>
      </c>
      <c r="J24" s="88">
        <f>IFERROR(VLOOKUP($B24,'OMF by Acct'!$A:$T,9,0),0)</f>
        <v>0</v>
      </c>
      <c r="K24" s="89">
        <f>IFERROR(VLOOKUP($B24,'OMF by Acct'!$A:$T,10,0),0)</f>
        <v>0</v>
      </c>
      <c r="L24" s="89">
        <f>IFERROR(VLOOKUP($B24,'OMF by Acct'!$A:$T,11,0),0)</f>
        <v>0</v>
      </c>
      <c r="M24" s="90">
        <f>IFERROR(VLOOKUP($B24,'OMF by Acct'!$A:$T,12,0),0)</f>
        <v>0</v>
      </c>
      <c r="N24" s="89">
        <v>75000</v>
      </c>
      <c r="O24" s="89">
        <f>IFERROR(VLOOKUP($B24,'OMF by Acct'!$A:$T,14,0),0)</f>
        <v>0</v>
      </c>
      <c r="P24" s="89">
        <v>0</v>
      </c>
      <c r="Q24" s="89">
        <v>0</v>
      </c>
      <c r="R24" s="88">
        <f>IFERROR(VLOOKUP($B24,'OMF by Acct'!$A:$T,17,0),0)</f>
        <v>0</v>
      </c>
      <c r="S24" s="88">
        <v>0</v>
      </c>
      <c r="T24" s="88">
        <v>0</v>
      </c>
      <c r="U24" s="91">
        <f t="shared" si="0"/>
        <v>75000</v>
      </c>
      <c r="V24" s="88">
        <v>75000</v>
      </c>
      <c r="W24" s="95">
        <v>0</v>
      </c>
      <c r="X24" s="95">
        <v>0</v>
      </c>
      <c r="Y24" s="86"/>
      <c r="Z24" s="66"/>
      <c r="AA24" s="65"/>
    </row>
    <row r="25" spans="1:27" ht="12" customHeight="1" x14ac:dyDescent="0.25">
      <c r="A25" s="65">
        <v>521205</v>
      </c>
      <c r="B25" s="79">
        <v>521205</v>
      </c>
      <c r="C25" s="80" t="s">
        <v>91</v>
      </c>
      <c r="D25" s="88">
        <v>0</v>
      </c>
      <c r="E25" s="88">
        <f>IFERROR(VLOOKUP($B25,'OMF by Acct'!$A:$T,4,0),0)</f>
        <v>0</v>
      </c>
      <c r="F25" s="88">
        <f>IFERROR(VLOOKUP($B25,'OMF by Acct'!$A:$T,5,0),0)</f>
        <v>0</v>
      </c>
      <c r="G25" s="88">
        <f>IFERROR(VLOOKUP($B25,'OMF by Acct'!$A:$T,6,0),0)</f>
        <v>0</v>
      </c>
      <c r="H25" s="88">
        <f>IFERROR(VLOOKUP($B25,'OMF by Acct'!$A:$T,7,0),0)</f>
        <v>0</v>
      </c>
      <c r="I25" s="88">
        <v>0</v>
      </c>
      <c r="J25" s="88">
        <f>IFERROR(VLOOKUP($B25,'OMF by Acct'!$A:$T,9,0),0)</f>
        <v>0</v>
      </c>
      <c r="K25" s="89">
        <f>IFERROR(VLOOKUP($B25,'OMF by Acct'!$A:$T,10,0),0)</f>
        <v>0</v>
      </c>
      <c r="L25" s="89">
        <f>IFERROR(VLOOKUP($B25,'OMF by Acct'!$A:$T,11,0),0)</f>
        <v>0</v>
      </c>
      <c r="M25" s="90">
        <f>IFERROR(VLOOKUP($B25,'OMF by Acct'!$A:$T,12,0),0)</f>
        <v>0</v>
      </c>
      <c r="N25" s="89">
        <v>91000</v>
      </c>
      <c r="O25" s="89">
        <f>IFERROR(VLOOKUP($B25,'OMF by Acct'!$A:$T,14,0),0)</f>
        <v>0</v>
      </c>
      <c r="P25" s="89">
        <v>0</v>
      </c>
      <c r="Q25" s="89">
        <v>0</v>
      </c>
      <c r="R25" s="88">
        <f>IFERROR(VLOOKUP($B25,'OMF by Acct'!$A:$T,17,0),0)</f>
        <v>0</v>
      </c>
      <c r="S25" s="88">
        <v>0</v>
      </c>
      <c r="T25" s="88">
        <v>0</v>
      </c>
      <c r="U25" s="91">
        <f t="shared" si="0"/>
        <v>91000</v>
      </c>
      <c r="V25" s="88">
        <v>91000</v>
      </c>
      <c r="W25" s="95">
        <v>0</v>
      </c>
      <c r="X25" s="95">
        <v>0</v>
      </c>
      <c r="Y25" s="86"/>
      <c r="Z25" s="66"/>
      <c r="AA25" s="65"/>
    </row>
    <row r="26" spans="1:27" ht="12" customHeight="1" x14ac:dyDescent="0.25">
      <c r="A26" s="65">
        <v>521207</v>
      </c>
      <c r="B26" s="79">
        <v>521207</v>
      </c>
      <c r="C26" s="80" t="s">
        <v>39</v>
      </c>
      <c r="D26" s="88">
        <v>0</v>
      </c>
      <c r="E26" s="88">
        <f>IFERROR(VLOOKUP($B26,'OMF by Acct'!$A:$T,4,0),0)</f>
        <v>0</v>
      </c>
      <c r="F26" s="88">
        <f>IFERROR(VLOOKUP($B26,'OMF by Acct'!$A:$T,5,0),0)</f>
        <v>0</v>
      </c>
      <c r="G26" s="88">
        <f>IFERROR(VLOOKUP($B26,'OMF by Acct'!$A:$T,6,0),0)</f>
        <v>0</v>
      </c>
      <c r="H26" s="88">
        <f>IFERROR(VLOOKUP($B26,'OMF by Acct'!$A:$T,7,0),0)</f>
        <v>0</v>
      </c>
      <c r="I26" s="88">
        <v>0</v>
      </c>
      <c r="J26" s="88">
        <f>IFERROR(VLOOKUP($B26,'OMF by Acct'!$A:$T,9,0),0)</f>
        <v>0</v>
      </c>
      <c r="K26" s="89">
        <f>IFERROR(VLOOKUP($B26,'OMF by Acct'!$A:$T,10,0),0)</f>
        <v>0</v>
      </c>
      <c r="L26" s="89">
        <f>IFERROR(VLOOKUP($B26,'OMF by Acct'!$A:$T,11,0),0)</f>
        <v>0</v>
      </c>
      <c r="M26" s="90">
        <f>IFERROR(VLOOKUP($B26,'OMF by Acct'!$A:$T,12,0),0)</f>
        <v>0</v>
      </c>
      <c r="N26" s="89">
        <v>805000</v>
      </c>
      <c r="O26" s="89">
        <f>IFERROR(VLOOKUP($B26,'OMF by Acct'!$A:$T,14,0),0)</f>
        <v>0</v>
      </c>
      <c r="P26" s="89">
        <v>0</v>
      </c>
      <c r="Q26" s="89">
        <v>0</v>
      </c>
      <c r="R26" s="88">
        <f>IFERROR(VLOOKUP($B26,'OMF by Acct'!$A:$T,17,0),0)</f>
        <v>0</v>
      </c>
      <c r="S26" s="88">
        <v>0</v>
      </c>
      <c r="T26" s="88">
        <v>450000</v>
      </c>
      <c r="U26" s="91">
        <f t="shared" si="0"/>
        <v>1255000</v>
      </c>
      <c r="V26" s="88">
        <v>1550000</v>
      </c>
      <c r="W26" s="92">
        <f t="shared" si="1"/>
        <v>-295000</v>
      </c>
      <c r="X26" s="86">
        <f t="shared" si="2"/>
        <v>-0.19032258064516128</v>
      </c>
      <c r="Y26" s="86"/>
      <c r="Z26" s="66"/>
      <c r="AA26" s="65"/>
    </row>
    <row r="27" spans="1:27" ht="12" customHeight="1" x14ac:dyDescent="0.25">
      <c r="A27" s="65">
        <v>521208</v>
      </c>
      <c r="B27" s="79">
        <v>521208</v>
      </c>
      <c r="C27" s="80" t="s">
        <v>40</v>
      </c>
      <c r="D27" s="88">
        <v>0</v>
      </c>
      <c r="E27" s="88">
        <f>IFERROR(VLOOKUP($B27,'OMF by Acct'!$A:$T,4,0),0)</f>
        <v>0</v>
      </c>
      <c r="F27" s="88">
        <f>IFERROR(VLOOKUP($B27,'OMF by Acct'!$A:$T,5,0),0)</f>
        <v>0</v>
      </c>
      <c r="G27" s="88">
        <f>IFERROR(VLOOKUP($B27,'OMF by Acct'!$A:$T,6,0),0)</f>
        <v>0</v>
      </c>
      <c r="H27" s="88">
        <f>IFERROR(VLOOKUP($B27,'OMF by Acct'!$A:$T,7,0),0)</f>
        <v>0</v>
      </c>
      <c r="I27" s="88">
        <v>0</v>
      </c>
      <c r="J27" s="88">
        <f>IFERROR(VLOOKUP($B27,'OMF by Acct'!$A:$T,9,0),0)</f>
        <v>0</v>
      </c>
      <c r="K27" s="89">
        <f>IFERROR(VLOOKUP($B27,'OMF by Acct'!$A:$T,10,0),0)</f>
        <v>0</v>
      </c>
      <c r="L27" s="89">
        <f>IFERROR(VLOOKUP($B27,'OMF by Acct'!$A:$T,11,0),0)</f>
        <v>0</v>
      </c>
      <c r="M27" s="90">
        <f>IFERROR(VLOOKUP($B27,'OMF by Acct'!$A:$T,12,0),0)</f>
        <v>0</v>
      </c>
      <c r="N27" s="89">
        <v>0</v>
      </c>
      <c r="O27" s="89">
        <f>IFERROR(VLOOKUP($B27,'OMF by Acct'!$A:$T,14,0),0)</f>
        <v>0</v>
      </c>
      <c r="P27" s="89">
        <v>0</v>
      </c>
      <c r="Q27" s="89">
        <v>0</v>
      </c>
      <c r="R27" s="88">
        <f>IFERROR(VLOOKUP($B27,'OMF by Acct'!$A:$T,17,0),0)</f>
        <v>0</v>
      </c>
      <c r="S27" s="88">
        <v>0</v>
      </c>
      <c r="T27" s="88">
        <v>16402810</v>
      </c>
      <c r="U27" s="91">
        <f t="shared" si="0"/>
        <v>16402810</v>
      </c>
      <c r="V27" s="88">
        <v>15540499</v>
      </c>
      <c r="W27" s="92">
        <f t="shared" si="1"/>
        <v>862311</v>
      </c>
      <c r="X27" s="86">
        <f t="shared" si="2"/>
        <v>5.5487986582670221E-2</v>
      </c>
      <c r="Y27" s="86"/>
      <c r="Z27" s="66"/>
      <c r="AA27" s="65"/>
    </row>
    <row r="28" spans="1:27" ht="12" customHeight="1" x14ac:dyDescent="0.25">
      <c r="A28" s="65">
        <v>521209</v>
      </c>
      <c r="B28" s="79">
        <v>521209</v>
      </c>
      <c r="C28" s="80" t="s">
        <v>41</v>
      </c>
      <c r="D28" s="88">
        <v>0</v>
      </c>
      <c r="E28" s="88">
        <f>IFERROR(VLOOKUP($B28,'OMF by Acct'!$A:$T,4,0),0)</f>
        <v>0</v>
      </c>
      <c r="F28" s="88">
        <f>IFERROR(VLOOKUP($B28,'OMF by Acct'!$A:$T,5,0),0)</f>
        <v>0</v>
      </c>
      <c r="G28" s="88">
        <f>IFERROR(VLOOKUP($B28,'OMF by Acct'!$A:$T,6,0),0)</f>
        <v>0</v>
      </c>
      <c r="H28" s="88">
        <f>IFERROR(VLOOKUP($B28,'OMF by Acct'!$A:$T,7,0),0)</f>
        <v>0</v>
      </c>
      <c r="I28" s="88">
        <v>0</v>
      </c>
      <c r="J28" s="88">
        <f>IFERROR(VLOOKUP($B28,'OMF by Acct'!$A:$T,9,0),0)</f>
        <v>0</v>
      </c>
      <c r="K28" s="89">
        <f>IFERROR(VLOOKUP($B28,'OMF by Acct'!$A:$T,10,0),0)</f>
        <v>0</v>
      </c>
      <c r="L28" s="89">
        <f>IFERROR(VLOOKUP($B28,'OMF by Acct'!$A:$T,11,0),0)</f>
        <v>0</v>
      </c>
      <c r="M28" s="90">
        <f>IFERROR(VLOOKUP($B28,'OMF by Acct'!$A:$T,12,0),0)</f>
        <v>0</v>
      </c>
      <c r="N28" s="89">
        <v>0</v>
      </c>
      <c r="O28" s="89">
        <f>IFERROR(VLOOKUP($B28,'OMF by Acct'!$A:$T,14,0),0)</f>
        <v>50150</v>
      </c>
      <c r="P28" s="89">
        <v>0</v>
      </c>
      <c r="Q28" s="89">
        <v>0</v>
      </c>
      <c r="R28" s="88">
        <f>IFERROR(VLOOKUP($B28,'OMF by Acct'!$A:$T,17,0),0)</f>
        <v>0</v>
      </c>
      <c r="S28" s="88">
        <v>0</v>
      </c>
      <c r="T28" s="88">
        <v>0</v>
      </c>
      <c r="U28" s="91">
        <f t="shared" si="0"/>
        <v>50150</v>
      </c>
      <c r="V28" s="88">
        <v>50142</v>
      </c>
      <c r="W28" s="92">
        <f t="shared" si="1"/>
        <v>8</v>
      </c>
      <c r="X28" s="95">
        <v>0</v>
      </c>
      <c r="Y28" s="86"/>
      <c r="Z28" s="66"/>
      <c r="AA28" s="65"/>
    </row>
    <row r="29" spans="1:27" ht="12" customHeight="1" x14ac:dyDescent="0.25">
      <c r="A29" s="65">
        <v>521212</v>
      </c>
      <c r="B29" s="79">
        <v>521212</v>
      </c>
      <c r="C29" s="80" t="s">
        <v>45</v>
      </c>
      <c r="D29" s="88">
        <v>0</v>
      </c>
      <c r="E29" s="88">
        <f>IFERROR(VLOOKUP($B29,'OMF by Acct'!$A:$T,4,0),0)</f>
        <v>0</v>
      </c>
      <c r="F29" s="88">
        <f>IFERROR(VLOOKUP($B29,'OMF by Acct'!$A:$T,5,0),0)</f>
        <v>0</v>
      </c>
      <c r="G29" s="88">
        <f>IFERROR(VLOOKUP($B29,'OMF by Acct'!$A:$T,6,0),0)</f>
        <v>0</v>
      </c>
      <c r="H29" s="88">
        <f>IFERROR(VLOOKUP($B29,'OMF by Acct'!$A:$T,7,0),0)</f>
        <v>0</v>
      </c>
      <c r="I29" s="88">
        <v>0</v>
      </c>
      <c r="J29" s="88">
        <f>IFERROR(VLOOKUP($B29,'OMF by Acct'!$A:$T,9,0),0)</f>
        <v>0</v>
      </c>
      <c r="K29" s="89">
        <f>IFERROR(VLOOKUP($B29,'OMF by Acct'!$A:$T,10,0),0)</f>
        <v>0</v>
      </c>
      <c r="L29" s="89">
        <f>IFERROR(VLOOKUP($B29,'OMF by Acct'!$A:$T,11,0),0)</f>
        <v>0</v>
      </c>
      <c r="M29" s="90">
        <f>IFERROR(VLOOKUP($B29,'OMF by Acct'!$A:$T,12,0),0)</f>
        <v>0</v>
      </c>
      <c r="N29" s="89">
        <v>0</v>
      </c>
      <c r="O29" s="89">
        <f>IFERROR(VLOOKUP($B29,'OMF by Acct'!$A:$T,14,0),0)</f>
        <v>0</v>
      </c>
      <c r="P29" s="89">
        <v>11220700</v>
      </c>
      <c r="Q29" s="89">
        <v>34585984</v>
      </c>
      <c r="R29" s="88">
        <f>IFERROR(VLOOKUP($B29,'OMF by Acct'!$A:$T,17,0),0)</f>
        <v>0</v>
      </c>
      <c r="S29" s="88">
        <v>0</v>
      </c>
      <c r="T29" s="88">
        <v>114500</v>
      </c>
      <c r="U29" s="91">
        <f t="shared" si="0"/>
        <v>45921184</v>
      </c>
      <c r="V29" s="88">
        <v>44430835</v>
      </c>
      <c r="W29" s="92">
        <f t="shared" si="1"/>
        <v>1490349</v>
      </c>
      <c r="X29" s="86">
        <f t="shared" si="2"/>
        <v>3.3543123823803894E-2</v>
      </c>
      <c r="Y29" s="86"/>
      <c r="Z29" s="66"/>
      <c r="AA29" s="65"/>
    </row>
    <row r="30" spans="1:27" ht="12" customHeight="1" x14ac:dyDescent="0.25">
      <c r="A30" s="65">
        <v>521213</v>
      </c>
      <c r="B30" s="79">
        <v>521213</v>
      </c>
      <c r="C30" s="80" t="s">
        <v>92</v>
      </c>
      <c r="D30" s="88">
        <v>0</v>
      </c>
      <c r="E30" s="88">
        <f>IFERROR(VLOOKUP($B30,'OMF by Acct'!$A:$T,4,0),0)</f>
        <v>0</v>
      </c>
      <c r="F30" s="88">
        <f>IFERROR(VLOOKUP($B30,'OMF by Acct'!$A:$T,5,0),0)</f>
        <v>0</v>
      </c>
      <c r="G30" s="88">
        <f>IFERROR(VLOOKUP($B30,'OMF by Acct'!$A:$T,6,0),0)</f>
        <v>0</v>
      </c>
      <c r="H30" s="88">
        <f>IFERROR(VLOOKUP($B30,'OMF by Acct'!$A:$T,7,0),0)</f>
        <v>0</v>
      </c>
      <c r="I30" s="88">
        <v>0</v>
      </c>
      <c r="J30" s="88">
        <f>IFERROR(VLOOKUP($B30,'OMF by Acct'!$A:$T,9,0),0)</f>
        <v>0</v>
      </c>
      <c r="K30" s="89">
        <f>IFERROR(VLOOKUP($B30,'OMF by Acct'!$A:$T,10,0),0)</f>
        <v>0</v>
      </c>
      <c r="L30" s="89">
        <f>IFERROR(VLOOKUP($B30,'OMF by Acct'!$A:$T,11,0),0)</f>
        <v>0</v>
      </c>
      <c r="M30" s="90">
        <f>IFERROR(VLOOKUP($B30,'OMF by Acct'!$A:$T,12,0),0)</f>
        <v>0</v>
      </c>
      <c r="N30" s="89">
        <v>0</v>
      </c>
      <c r="O30" s="89">
        <f>IFERROR(VLOOKUP($B30,'OMF by Acct'!$A:$T,14,0),0)</f>
        <v>0</v>
      </c>
      <c r="P30" s="89">
        <v>0</v>
      </c>
      <c r="Q30" s="89">
        <v>0</v>
      </c>
      <c r="R30" s="88">
        <f>IFERROR(VLOOKUP($B30,'OMF by Acct'!$A:$T,17,0),0)</f>
        <v>0</v>
      </c>
      <c r="S30" s="88">
        <v>28124877</v>
      </c>
      <c r="T30" s="88">
        <v>0</v>
      </c>
      <c r="U30" s="91">
        <f t="shared" si="0"/>
        <v>28124877</v>
      </c>
      <c r="V30" s="88">
        <v>26340109</v>
      </c>
      <c r="W30" s="92">
        <f t="shared" si="1"/>
        <v>1784768</v>
      </c>
      <c r="X30" s="86">
        <f t="shared" si="2"/>
        <v>6.7758565463795162E-2</v>
      </c>
      <c r="Y30" s="86"/>
      <c r="Z30" s="66"/>
      <c r="AA30" s="65"/>
    </row>
    <row r="31" spans="1:27" ht="12" customHeight="1" x14ac:dyDescent="0.25">
      <c r="A31" s="65">
        <v>521301</v>
      </c>
      <c r="B31" s="79">
        <v>521301</v>
      </c>
      <c r="C31" s="80" t="s">
        <v>93</v>
      </c>
      <c r="D31" s="88">
        <v>0</v>
      </c>
      <c r="E31" s="88">
        <f>IFERROR(VLOOKUP($B31,'OMF by Acct'!$A:$T,4,0),0)</f>
        <v>0</v>
      </c>
      <c r="F31" s="88">
        <f>IFERROR(VLOOKUP($B31,'OMF by Acct'!$A:$T,5,0),0)</f>
        <v>0</v>
      </c>
      <c r="G31" s="88">
        <f>IFERROR(VLOOKUP($B31,'OMF by Acct'!$A:$T,6,0),0)</f>
        <v>0</v>
      </c>
      <c r="H31" s="88">
        <f>IFERROR(VLOOKUP($B31,'OMF by Acct'!$A:$T,7,0),0)</f>
        <v>0</v>
      </c>
      <c r="I31" s="88">
        <v>0</v>
      </c>
      <c r="J31" s="88">
        <f>IFERROR(VLOOKUP($B31,'OMF by Acct'!$A:$T,9,0),0)</f>
        <v>0</v>
      </c>
      <c r="K31" s="89">
        <f>IFERROR(VLOOKUP($B31,'OMF by Acct'!$A:$T,10,0),0)</f>
        <v>0</v>
      </c>
      <c r="L31" s="89">
        <f>IFERROR(VLOOKUP($B31,'OMF by Acct'!$A:$T,11,0),0)</f>
        <v>0</v>
      </c>
      <c r="M31" s="90">
        <f>IFERROR(VLOOKUP($B31,'OMF by Acct'!$A:$T,12,0),0)</f>
        <v>0</v>
      </c>
      <c r="N31" s="89">
        <v>0</v>
      </c>
      <c r="O31" s="89">
        <f>IFERROR(VLOOKUP($B31,'OMF by Acct'!$A:$T,14,0),0)</f>
        <v>0</v>
      </c>
      <c r="P31" s="90">
        <v>30467000</v>
      </c>
      <c r="Q31" s="89">
        <v>0</v>
      </c>
      <c r="R31" s="88">
        <f>IFERROR(VLOOKUP($B31,'OMF by Acct'!$A:$T,17,0),0)</f>
        <v>0</v>
      </c>
      <c r="S31" s="88">
        <v>3355261</v>
      </c>
      <c r="T31" s="88">
        <v>0</v>
      </c>
      <c r="U31" s="91">
        <f t="shared" si="0"/>
        <v>33822261</v>
      </c>
      <c r="V31" s="88">
        <v>3352529</v>
      </c>
      <c r="W31" s="92">
        <f t="shared" si="1"/>
        <v>30469732</v>
      </c>
      <c r="X31" s="86">
        <f t="shared" si="2"/>
        <v>9.0885811875154552</v>
      </c>
      <c r="Y31" s="86"/>
      <c r="Z31" s="66"/>
      <c r="AA31" s="65"/>
    </row>
    <row r="32" spans="1:27" ht="12" customHeight="1" x14ac:dyDescent="0.25">
      <c r="B32" s="79">
        <v>522201</v>
      </c>
      <c r="C32" s="80" t="s">
        <v>94</v>
      </c>
      <c r="D32" s="88">
        <v>0</v>
      </c>
      <c r="E32" s="88">
        <f>IFERROR(VLOOKUP($B32,'OMF by Acct'!$A:$T,4,0),0)</f>
        <v>0</v>
      </c>
      <c r="F32" s="88">
        <f>IFERROR(VLOOKUP($B32,'OMF by Acct'!$A:$T,5,0),0)</f>
        <v>0</v>
      </c>
      <c r="G32" s="88">
        <f>IFERROR(VLOOKUP($B32,'OMF by Acct'!$A:$T,6,0),0)</f>
        <v>0</v>
      </c>
      <c r="H32" s="88">
        <f>IFERROR(VLOOKUP($B32,'OMF by Acct'!$A:$T,7,0),0)</f>
        <v>0</v>
      </c>
      <c r="I32" s="88">
        <v>0</v>
      </c>
      <c r="J32" s="88">
        <f>IFERROR(VLOOKUP($B32,'OMF by Acct'!$A:$T,9,0),0)</f>
        <v>0</v>
      </c>
      <c r="K32" s="89">
        <f>IFERROR(VLOOKUP($B32,'OMF by Acct'!$A:$T,10,0),0)</f>
        <v>0</v>
      </c>
      <c r="L32" s="89">
        <f>IFERROR(VLOOKUP($B32,'OMF by Acct'!$A:$T,11,0),0)</f>
        <v>0</v>
      </c>
      <c r="M32" s="90">
        <f>IFERROR(VLOOKUP($B32,'OMF by Acct'!$A:$T,12,0),0)</f>
        <v>0</v>
      </c>
      <c r="N32" s="89">
        <v>0</v>
      </c>
      <c r="O32" s="89">
        <f>IFERROR(VLOOKUP($B32,'OMF by Acct'!$A:$T,14,0),0)</f>
        <v>0</v>
      </c>
      <c r="P32" s="89">
        <v>0</v>
      </c>
      <c r="Q32" s="89">
        <v>700000</v>
      </c>
      <c r="R32" s="88">
        <f>IFERROR(VLOOKUP($B32,'OMF by Acct'!$A:$T,17,0),0)</f>
        <v>0</v>
      </c>
      <c r="S32" s="88">
        <v>0</v>
      </c>
      <c r="T32" s="88">
        <v>0</v>
      </c>
      <c r="U32" s="91">
        <f t="shared" si="0"/>
        <v>700000</v>
      </c>
      <c r="V32" s="88">
        <v>0</v>
      </c>
      <c r="W32" s="92">
        <f t="shared" si="1"/>
        <v>700000</v>
      </c>
      <c r="X32" s="96">
        <v>0</v>
      </c>
      <c r="Y32" s="86"/>
      <c r="Z32" s="66"/>
      <c r="AA32" s="65"/>
    </row>
    <row r="33" spans="1:27" ht="12" customHeight="1" x14ac:dyDescent="0.25">
      <c r="A33" s="65">
        <v>522202</v>
      </c>
      <c r="B33" s="79">
        <v>522202</v>
      </c>
      <c r="C33" s="80" t="s">
        <v>46</v>
      </c>
      <c r="D33" s="88">
        <v>0</v>
      </c>
      <c r="E33" s="88">
        <f>IFERROR(VLOOKUP($B33,'OMF by Acct'!$A:$T,4,0),0)</f>
        <v>0</v>
      </c>
      <c r="F33" s="88">
        <f>IFERROR(VLOOKUP($B33,'OMF by Acct'!$A:$T,5,0),0)</f>
        <v>0</v>
      </c>
      <c r="G33" s="88">
        <f>IFERROR(VLOOKUP($B33,'OMF by Acct'!$A:$T,6,0),0)</f>
        <v>0</v>
      </c>
      <c r="H33" s="88">
        <f>IFERROR(VLOOKUP($B33,'OMF by Acct'!$A:$T,7,0),0)</f>
        <v>0</v>
      </c>
      <c r="I33" s="88">
        <v>0</v>
      </c>
      <c r="J33" s="88">
        <f>IFERROR(VLOOKUP($B33,'OMF by Acct'!$A:$T,9,0),0)</f>
        <v>0</v>
      </c>
      <c r="K33" s="89">
        <f>IFERROR(VLOOKUP($B33,'OMF by Acct'!$A:$T,10,0),0)</f>
        <v>0</v>
      </c>
      <c r="L33" s="89">
        <f>IFERROR(VLOOKUP($B33,'OMF by Acct'!$A:$T,11,0),0)</f>
        <v>0</v>
      </c>
      <c r="M33" s="90">
        <f>IFERROR(VLOOKUP($B33,'OMF by Acct'!$A:$T,12,0),0)</f>
        <v>0</v>
      </c>
      <c r="N33" s="89">
        <v>0</v>
      </c>
      <c r="O33" s="89">
        <f>IFERROR(VLOOKUP($B33,'OMF by Acct'!$A:$T,14,0),0)</f>
        <v>0</v>
      </c>
      <c r="P33" s="89">
        <v>0</v>
      </c>
      <c r="Q33" s="89">
        <v>619571.88</v>
      </c>
      <c r="R33" s="88">
        <f>IFERROR(VLOOKUP($B33,'OMF by Acct'!$A:$T,17,0),0)</f>
        <v>0</v>
      </c>
      <c r="S33" s="88">
        <v>0</v>
      </c>
      <c r="T33" s="88">
        <v>0</v>
      </c>
      <c r="U33" s="91">
        <f t="shared" si="0"/>
        <v>619571.88</v>
      </c>
      <c r="V33" s="88">
        <v>616425</v>
      </c>
      <c r="W33" s="92">
        <f t="shared" si="1"/>
        <v>3146.8800000000047</v>
      </c>
      <c r="X33" s="86">
        <f t="shared" si="2"/>
        <v>5.1050492760676561E-3</v>
      </c>
      <c r="Y33" s="86"/>
      <c r="Z33" s="66"/>
      <c r="AA33" s="65"/>
    </row>
    <row r="34" spans="1:27" ht="12" customHeight="1" x14ac:dyDescent="0.25">
      <c r="A34" s="65">
        <v>522203</v>
      </c>
      <c r="B34" s="79">
        <v>522203</v>
      </c>
      <c r="C34" s="80" t="s">
        <v>95</v>
      </c>
      <c r="D34" s="88">
        <v>0</v>
      </c>
      <c r="E34" s="88">
        <f>IFERROR(VLOOKUP($B34,'OMF by Acct'!$A:$T,4,0),0)</f>
        <v>0</v>
      </c>
      <c r="F34" s="88">
        <f>IFERROR(VLOOKUP($B34,'OMF by Acct'!$A:$T,5,0),0)</f>
        <v>0</v>
      </c>
      <c r="G34" s="88">
        <f>IFERROR(VLOOKUP($B34,'OMF by Acct'!$A:$T,6,0),0)</f>
        <v>0</v>
      </c>
      <c r="H34" s="88">
        <f>IFERROR(VLOOKUP($B34,'OMF by Acct'!$A:$T,7,0),0)</f>
        <v>0</v>
      </c>
      <c r="I34" s="88">
        <v>0</v>
      </c>
      <c r="J34" s="88">
        <f>IFERROR(VLOOKUP($B34,'OMF by Acct'!$A:$T,9,0),0)</f>
        <v>0</v>
      </c>
      <c r="K34" s="89">
        <f>IFERROR(VLOOKUP($B34,'OMF by Acct'!$A:$T,10,0),0)</f>
        <v>0</v>
      </c>
      <c r="L34" s="89">
        <f>IFERROR(VLOOKUP($B34,'OMF by Acct'!$A:$T,11,0),0)</f>
        <v>0</v>
      </c>
      <c r="M34" s="90">
        <f>IFERROR(VLOOKUP($B34,'OMF by Acct'!$A:$T,12,0),0)</f>
        <v>0</v>
      </c>
      <c r="N34" s="89">
        <v>0</v>
      </c>
      <c r="O34" s="89">
        <f>IFERROR(VLOOKUP($B34,'OMF by Acct'!$A:$T,14,0),0)</f>
        <v>0</v>
      </c>
      <c r="P34" s="89">
        <v>0</v>
      </c>
      <c r="Q34" s="89">
        <v>0</v>
      </c>
      <c r="R34" s="88">
        <f>IFERROR(VLOOKUP($B34,'OMF by Acct'!$A:$T,17,0),0)</f>
        <v>0</v>
      </c>
      <c r="S34" s="88">
        <v>2629100</v>
      </c>
      <c r="T34" s="88">
        <v>0</v>
      </c>
      <c r="U34" s="91">
        <f t="shared" si="0"/>
        <v>2629100</v>
      </c>
      <c r="V34" s="88">
        <v>2230000</v>
      </c>
      <c r="W34" s="92">
        <f t="shared" si="1"/>
        <v>399100</v>
      </c>
      <c r="X34" s="86">
        <f t="shared" si="2"/>
        <v>0.17896860986547086</v>
      </c>
      <c r="Y34" s="86"/>
      <c r="Z34" s="66"/>
      <c r="AA34" s="65"/>
    </row>
    <row r="35" spans="1:27" ht="12" customHeight="1" x14ac:dyDescent="0.25">
      <c r="A35" s="65">
        <v>522204</v>
      </c>
      <c r="B35" s="79">
        <v>522204</v>
      </c>
      <c r="C35" s="80" t="s">
        <v>96</v>
      </c>
      <c r="D35" s="88">
        <v>0</v>
      </c>
      <c r="E35" s="88">
        <f>IFERROR(VLOOKUP($B35,'OMF by Acct'!$A:$T,4,0),0)</f>
        <v>0</v>
      </c>
      <c r="F35" s="88">
        <f>IFERROR(VLOOKUP($B35,'OMF by Acct'!$A:$T,5,0),0)</f>
        <v>0</v>
      </c>
      <c r="G35" s="88">
        <f>IFERROR(VLOOKUP($B35,'OMF by Acct'!$A:$T,6,0),0)</f>
        <v>0</v>
      </c>
      <c r="H35" s="88">
        <f>IFERROR(VLOOKUP($B35,'OMF by Acct'!$A:$T,7,0),0)</f>
        <v>0</v>
      </c>
      <c r="I35" s="88">
        <v>0</v>
      </c>
      <c r="J35" s="88">
        <f>IFERROR(VLOOKUP($B35,'OMF by Acct'!$A:$T,9,0),0)</f>
        <v>0</v>
      </c>
      <c r="K35" s="89">
        <f>IFERROR(VLOOKUP($B35,'OMF by Acct'!$A:$T,10,0),0)</f>
        <v>0</v>
      </c>
      <c r="L35" s="89">
        <f>IFERROR(VLOOKUP($B35,'OMF by Acct'!$A:$T,11,0),0)</f>
        <v>0</v>
      </c>
      <c r="M35" s="90">
        <f>IFERROR(VLOOKUP($B35,'OMF by Acct'!$A:$T,12,0),0)</f>
        <v>0</v>
      </c>
      <c r="N35" s="89">
        <v>0</v>
      </c>
      <c r="O35" s="89">
        <f>IFERROR(VLOOKUP($B35,'OMF by Acct'!$A:$T,14,0),0)</f>
        <v>0</v>
      </c>
      <c r="P35" s="89">
        <v>0</v>
      </c>
      <c r="Q35" s="89">
        <v>0</v>
      </c>
      <c r="R35" s="88">
        <f>IFERROR(VLOOKUP($B35,'OMF by Acct'!$A:$T,17,0),0)</f>
        <v>0</v>
      </c>
      <c r="S35" s="88">
        <v>6357200</v>
      </c>
      <c r="T35" s="88">
        <v>0</v>
      </c>
      <c r="U35" s="91">
        <f t="shared" si="0"/>
        <v>6357200</v>
      </c>
      <c r="V35" s="88">
        <v>5566000</v>
      </c>
      <c r="W35" s="92">
        <f t="shared" si="1"/>
        <v>791200</v>
      </c>
      <c r="X35" s="86">
        <f t="shared" si="2"/>
        <v>0.14214876033057852</v>
      </c>
      <c r="Y35" s="86"/>
      <c r="Z35" s="66"/>
      <c r="AA35" s="65"/>
    </row>
    <row r="36" spans="1:27" ht="12" customHeight="1" x14ac:dyDescent="0.25">
      <c r="A36" s="65">
        <v>522205</v>
      </c>
      <c r="B36" s="79">
        <v>522205</v>
      </c>
      <c r="C36" s="80" t="s">
        <v>97</v>
      </c>
      <c r="D36" s="88">
        <v>0</v>
      </c>
      <c r="E36" s="88">
        <f>IFERROR(VLOOKUP($B36,'OMF by Acct'!$A:$T,4,0),0)</f>
        <v>0</v>
      </c>
      <c r="F36" s="88">
        <f>IFERROR(VLOOKUP($B36,'OMF by Acct'!$A:$T,5,0),0)</f>
        <v>0</v>
      </c>
      <c r="G36" s="88">
        <f>IFERROR(VLOOKUP($B36,'OMF by Acct'!$A:$T,6,0),0)</f>
        <v>0</v>
      </c>
      <c r="H36" s="88">
        <f>IFERROR(VLOOKUP($B36,'OMF by Acct'!$A:$T,7,0),0)</f>
        <v>0</v>
      </c>
      <c r="I36" s="88">
        <v>0</v>
      </c>
      <c r="J36" s="88">
        <f>IFERROR(VLOOKUP($B36,'OMF by Acct'!$A:$T,9,0),0)</f>
        <v>0</v>
      </c>
      <c r="K36" s="89">
        <f>IFERROR(VLOOKUP($B36,'OMF by Acct'!$A:$T,10,0),0)</f>
        <v>0</v>
      </c>
      <c r="L36" s="89">
        <f>IFERROR(VLOOKUP($B36,'OMF by Acct'!$A:$T,11,0),0)</f>
        <v>0</v>
      </c>
      <c r="M36" s="90">
        <f>IFERROR(VLOOKUP($B36,'OMF by Acct'!$A:$T,12,0),0)</f>
        <v>0</v>
      </c>
      <c r="N36" s="89">
        <v>0</v>
      </c>
      <c r="O36" s="89">
        <f>IFERROR(VLOOKUP($B36,'OMF by Acct'!$A:$T,14,0),0)</f>
        <v>0</v>
      </c>
      <c r="P36" s="89">
        <v>0</v>
      </c>
      <c r="Q36" s="89">
        <v>0</v>
      </c>
      <c r="R36" s="88">
        <f>IFERROR(VLOOKUP($B36,'OMF by Acct'!$A:$T,17,0),0)</f>
        <v>0</v>
      </c>
      <c r="S36" s="88">
        <v>24140000</v>
      </c>
      <c r="T36" s="88">
        <v>0</v>
      </c>
      <c r="U36" s="91">
        <f t="shared" si="0"/>
        <v>24140000</v>
      </c>
      <c r="V36" s="88">
        <v>18038000</v>
      </c>
      <c r="W36" s="92">
        <f t="shared" si="1"/>
        <v>6102000</v>
      </c>
      <c r="X36" s="86">
        <f t="shared" si="2"/>
        <v>0.33828584100232839</v>
      </c>
      <c r="Y36" s="86"/>
      <c r="Z36" s="66"/>
      <c r="AA36" s="65"/>
    </row>
    <row r="37" spans="1:27" ht="12" customHeight="1" x14ac:dyDescent="0.25">
      <c r="A37" s="65">
        <v>522206</v>
      </c>
      <c r="B37" s="79">
        <v>522206</v>
      </c>
      <c r="C37" s="80" t="s">
        <v>98</v>
      </c>
      <c r="D37" s="88">
        <v>0</v>
      </c>
      <c r="E37" s="88">
        <f>IFERROR(VLOOKUP($B37,'OMF by Acct'!$A:$T,4,0),0)</f>
        <v>0</v>
      </c>
      <c r="F37" s="88">
        <f>IFERROR(VLOOKUP($B37,'OMF by Acct'!$A:$T,5,0),0)</f>
        <v>0</v>
      </c>
      <c r="G37" s="88">
        <f>IFERROR(VLOOKUP($B37,'OMF by Acct'!$A:$T,6,0),0)</f>
        <v>0</v>
      </c>
      <c r="H37" s="88">
        <f>IFERROR(VLOOKUP($B37,'OMF by Acct'!$A:$T,7,0),0)</f>
        <v>0</v>
      </c>
      <c r="I37" s="88">
        <v>0</v>
      </c>
      <c r="J37" s="88">
        <f>IFERROR(VLOOKUP($B37,'OMF by Acct'!$A:$T,9,0),0)</f>
        <v>0</v>
      </c>
      <c r="K37" s="89">
        <f>IFERROR(VLOOKUP($B37,'OMF by Acct'!$A:$T,10,0),0)</f>
        <v>0</v>
      </c>
      <c r="L37" s="89">
        <f>IFERROR(VLOOKUP($B37,'OMF by Acct'!$A:$T,11,0),0)</f>
        <v>0</v>
      </c>
      <c r="M37" s="90">
        <f>IFERROR(VLOOKUP($B37,'OMF by Acct'!$A:$T,12,0),0)</f>
        <v>0</v>
      </c>
      <c r="N37" s="89">
        <v>0</v>
      </c>
      <c r="O37" s="89">
        <f>IFERROR(VLOOKUP($B37,'OMF by Acct'!$A:$T,14,0),0)</f>
        <v>0</v>
      </c>
      <c r="P37" s="89">
        <v>0</v>
      </c>
      <c r="Q37" s="89">
        <v>0</v>
      </c>
      <c r="R37" s="88">
        <f>IFERROR(VLOOKUP($B37,'OMF by Acct'!$A:$T,17,0),0)</f>
        <v>0</v>
      </c>
      <c r="S37" s="88">
        <v>11350000</v>
      </c>
      <c r="T37" s="88">
        <v>0</v>
      </c>
      <c r="U37" s="91">
        <f t="shared" si="0"/>
        <v>11350000</v>
      </c>
      <c r="V37" s="88">
        <v>5830000</v>
      </c>
      <c r="W37" s="92">
        <f t="shared" si="1"/>
        <v>5520000</v>
      </c>
      <c r="X37" s="86">
        <f t="shared" si="2"/>
        <v>0.94682675814751283</v>
      </c>
      <c r="Y37" s="86"/>
      <c r="Z37" s="66"/>
      <c r="AA37" s="65"/>
    </row>
    <row r="38" spans="1:27" ht="12" customHeight="1" x14ac:dyDescent="0.25">
      <c r="A38" s="65">
        <v>522301</v>
      </c>
      <c r="B38" s="79">
        <v>522301</v>
      </c>
      <c r="C38" s="80" t="s">
        <v>47</v>
      </c>
      <c r="D38" s="88">
        <v>0</v>
      </c>
      <c r="E38" s="88">
        <f>IFERROR(VLOOKUP($B38,'OMF by Acct'!$A:$T,4,0),0)</f>
        <v>0</v>
      </c>
      <c r="F38" s="88">
        <f>IFERROR(VLOOKUP($B38,'OMF by Acct'!$A:$T,5,0),0)</f>
        <v>0</v>
      </c>
      <c r="G38" s="88">
        <f>IFERROR(VLOOKUP($B38,'OMF by Acct'!$A:$T,6,0),0)</f>
        <v>0</v>
      </c>
      <c r="H38" s="88">
        <f>IFERROR(VLOOKUP($B38,'OMF by Acct'!$A:$T,7,0),0)</f>
        <v>0</v>
      </c>
      <c r="I38" s="88">
        <v>0</v>
      </c>
      <c r="J38" s="88">
        <f>IFERROR(VLOOKUP($B38,'OMF by Acct'!$A:$T,9,0),0)</f>
        <v>0</v>
      </c>
      <c r="K38" s="89">
        <f>IFERROR(VLOOKUP($B38,'OMF by Acct'!$A:$T,10,0),0)</f>
        <v>0</v>
      </c>
      <c r="L38" s="89">
        <f>IFERROR(VLOOKUP($B38,'OMF by Acct'!$A:$T,11,0),0)</f>
        <v>0</v>
      </c>
      <c r="M38" s="90">
        <f>IFERROR(VLOOKUP($B38,'OMF by Acct'!$A:$T,12,0),0)</f>
        <v>0</v>
      </c>
      <c r="N38" s="89">
        <v>0</v>
      </c>
      <c r="O38" s="89">
        <f>IFERROR(VLOOKUP($B38,'OMF by Acct'!$A:$T,14,0),0)</f>
        <v>0</v>
      </c>
      <c r="P38" s="89">
        <v>0</v>
      </c>
      <c r="Q38" s="89">
        <v>376000</v>
      </c>
      <c r="R38" s="88">
        <f>IFERROR(VLOOKUP($B38,'OMF by Acct'!$A:$T,17,0),0)</f>
        <v>0</v>
      </c>
      <c r="S38" s="88">
        <v>0</v>
      </c>
      <c r="T38" s="88">
        <v>0</v>
      </c>
      <c r="U38" s="91">
        <f t="shared" si="0"/>
        <v>376000</v>
      </c>
      <c r="V38" s="88">
        <v>357000</v>
      </c>
      <c r="W38" s="92">
        <f t="shared" si="1"/>
        <v>19000</v>
      </c>
      <c r="X38" s="86">
        <f t="shared" si="2"/>
        <v>5.3221288515406161E-2</v>
      </c>
      <c r="Y38" s="86"/>
      <c r="Z38" s="66"/>
      <c r="AA38" s="65"/>
    </row>
    <row r="39" spans="1:27" ht="12" customHeight="1" x14ac:dyDescent="0.25">
      <c r="A39" s="65">
        <v>522302</v>
      </c>
      <c r="B39" s="79">
        <v>522302</v>
      </c>
      <c r="C39" s="80" t="s">
        <v>48</v>
      </c>
      <c r="D39" s="88">
        <v>0</v>
      </c>
      <c r="E39" s="88">
        <f>IFERROR(VLOOKUP($B39,'OMF by Acct'!$A:$T,4,0),0)</f>
        <v>0</v>
      </c>
      <c r="F39" s="88">
        <f>IFERROR(VLOOKUP($B39,'OMF by Acct'!$A:$T,5,0),0)</f>
        <v>0</v>
      </c>
      <c r="G39" s="88">
        <f>IFERROR(VLOOKUP($B39,'OMF by Acct'!$A:$T,6,0),0)</f>
        <v>0</v>
      </c>
      <c r="H39" s="88">
        <f>IFERROR(VLOOKUP($B39,'OMF by Acct'!$A:$T,7,0),0)</f>
        <v>0</v>
      </c>
      <c r="I39" s="88">
        <v>0</v>
      </c>
      <c r="J39" s="88">
        <f>IFERROR(VLOOKUP($B39,'OMF by Acct'!$A:$T,9,0),0)</f>
        <v>0</v>
      </c>
      <c r="K39" s="89">
        <f>IFERROR(VLOOKUP($B39,'OMF by Acct'!$A:$T,10,0),0)</f>
        <v>0</v>
      </c>
      <c r="L39" s="89">
        <f>IFERROR(VLOOKUP($B39,'OMF by Acct'!$A:$T,11,0),0)</f>
        <v>0</v>
      </c>
      <c r="M39" s="90">
        <f>IFERROR(VLOOKUP($B39,'OMF by Acct'!$A:$T,12,0),0)</f>
        <v>0</v>
      </c>
      <c r="N39" s="89">
        <v>0</v>
      </c>
      <c r="O39" s="89">
        <f>IFERROR(VLOOKUP($B39,'OMF by Acct'!$A:$T,14,0),0)</f>
        <v>35200</v>
      </c>
      <c r="P39" s="89">
        <v>0</v>
      </c>
      <c r="Q39" s="89">
        <v>55350</v>
      </c>
      <c r="R39" s="88">
        <f>IFERROR(VLOOKUP($B39,'OMF by Acct'!$A:$T,17,0),0)</f>
        <v>0</v>
      </c>
      <c r="S39" s="88">
        <v>0</v>
      </c>
      <c r="T39" s="88">
        <v>0</v>
      </c>
      <c r="U39" s="91">
        <f t="shared" si="0"/>
        <v>90550</v>
      </c>
      <c r="V39" s="88">
        <v>70550</v>
      </c>
      <c r="W39" s="92">
        <f t="shared" si="1"/>
        <v>20000</v>
      </c>
      <c r="X39" s="86">
        <f t="shared" si="2"/>
        <v>0.28348688873139616</v>
      </c>
      <c r="Y39" s="86"/>
      <c r="Z39" s="66"/>
      <c r="AA39" s="65"/>
    </row>
    <row r="40" spans="1:27" ht="12" customHeight="1" x14ac:dyDescent="0.25">
      <c r="A40" s="65">
        <v>523101</v>
      </c>
      <c r="B40" s="79">
        <v>523101</v>
      </c>
      <c r="C40" s="80" t="s">
        <v>74</v>
      </c>
      <c r="D40" s="88">
        <v>0</v>
      </c>
      <c r="E40" s="88">
        <f>IFERROR(VLOOKUP($B40,'OMF by Acct'!$A:$T,4,0),0)</f>
        <v>0</v>
      </c>
      <c r="F40" s="88">
        <f>IFERROR(VLOOKUP($B40,'OMF by Acct'!$A:$T,5,0),0)</f>
        <v>0</v>
      </c>
      <c r="G40" s="88">
        <f>IFERROR(VLOOKUP($B40,'OMF by Acct'!$A:$T,6,0),0)</f>
        <v>0</v>
      </c>
      <c r="H40" s="88">
        <f>IFERROR(VLOOKUP($B40,'OMF by Acct'!$A:$T,7,0),0)</f>
        <v>0</v>
      </c>
      <c r="I40" s="88">
        <v>0</v>
      </c>
      <c r="J40" s="88">
        <f>IFERROR(VLOOKUP($B40,'OMF by Acct'!$A:$T,9,0),0)</f>
        <v>0</v>
      </c>
      <c r="K40" s="89">
        <f>IFERROR(VLOOKUP($B40,'OMF by Acct'!$A:$T,10,0),0)</f>
        <v>0</v>
      </c>
      <c r="L40" s="89">
        <f>IFERROR(VLOOKUP($B40,'OMF by Acct'!$A:$T,11,0),0)</f>
        <v>0</v>
      </c>
      <c r="M40" s="90">
        <f>IFERROR(VLOOKUP($B40,'OMF by Acct'!$A:$T,12,0),0)</f>
        <v>0</v>
      </c>
      <c r="N40" s="89">
        <v>0</v>
      </c>
      <c r="O40" s="89">
        <f>IFERROR(VLOOKUP($B40,'OMF by Acct'!$A:$T,14,0),0)</f>
        <v>0</v>
      </c>
      <c r="P40" s="89">
        <v>0</v>
      </c>
      <c r="Q40" s="89">
        <v>0</v>
      </c>
      <c r="R40" s="88">
        <f>IFERROR(VLOOKUP($B40,'OMF by Acct'!$A:$T,17,0),0)</f>
        <v>0</v>
      </c>
      <c r="S40" s="88">
        <v>0</v>
      </c>
      <c r="T40" s="88">
        <v>6637528</v>
      </c>
      <c r="U40" s="91">
        <f t="shared" si="0"/>
        <v>6637528</v>
      </c>
      <c r="V40" s="88">
        <v>7048478</v>
      </c>
      <c r="W40" s="92">
        <f t="shared" si="1"/>
        <v>-410950</v>
      </c>
      <c r="X40" s="86">
        <f t="shared" si="2"/>
        <v>-5.8303367053142534E-2</v>
      </c>
      <c r="Y40" s="86"/>
      <c r="Z40" s="66"/>
      <c r="AA40" s="65"/>
    </row>
    <row r="41" spans="1:27" ht="12" customHeight="1" x14ac:dyDescent="0.25">
      <c r="A41" s="65">
        <v>523201</v>
      </c>
      <c r="B41" s="79">
        <v>523201</v>
      </c>
      <c r="C41" s="80" t="s">
        <v>57</v>
      </c>
      <c r="D41" s="88">
        <v>0</v>
      </c>
      <c r="E41" s="88">
        <f>IFERROR(VLOOKUP($B41,'OMF by Acct'!$A:$T,4,0),0)</f>
        <v>0</v>
      </c>
      <c r="F41" s="88">
        <f>IFERROR(VLOOKUP($B41,'OMF by Acct'!$A:$T,5,0),0)</f>
        <v>0</v>
      </c>
      <c r="G41" s="88">
        <f>IFERROR(VLOOKUP($B41,'OMF by Acct'!$A:$T,6,0),0)</f>
        <v>0</v>
      </c>
      <c r="H41" s="88">
        <f>IFERROR(VLOOKUP($B41,'OMF by Acct'!$A:$T,7,0),0)</f>
        <v>0</v>
      </c>
      <c r="I41" s="88">
        <v>0</v>
      </c>
      <c r="J41" s="88">
        <f>IFERROR(VLOOKUP($B41,'OMF by Acct'!$A:$T,9,0),0)</f>
        <v>0</v>
      </c>
      <c r="K41" s="89">
        <f>IFERROR(VLOOKUP($B41,'OMF by Acct'!$A:$T,10,0),0)</f>
        <v>0</v>
      </c>
      <c r="L41" s="89">
        <f>IFERROR(VLOOKUP($B41,'OMF by Acct'!$A:$T,11,0),0)</f>
        <v>0</v>
      </c>
      <c r="M41" s="90">
        <f>IFERROR(VLOOKUP($B41,'OMF by Acct'!$A:$T,12,0),0)</f>
        <v>0</v>
      </c>
      <c r="N41" s="89">
        <v>0</v>
      </c>
      <c r="O41" s="89">
        <f>IFERROR(VLOOKUP($B41,'OMF by Acct'!$A:$T,14,0),0)</f>
        <v>19100000</v>
      </c>
      <c r="P41" s="89">
        <v>0</v>
      </c>
      <c r="Q41" s="89">
        <v>0</v>
      </c>
      <c r="R41" s="88">
        <f>IFERROR(VLOOKUP($B41,'OMF by Acct'!$A:$T,17,0),0)</f>
        <v>0</v>
      </c>
      <c r="S41" s="88">
        <v>0</v>
      </c>
      <c r="T41" s="88">
        <v>0</v>
      </c>
      <c r="U41" s="91">
        <f t="shared" si="0"/>
        <v>19100000</v>
      </c>
      <c r="V41" s="88">
        <v>18279249</v>
      </c>
      <c r="W41" s="92">
        <f t="shared" si="1"/>
        <v>820751</v>
      </c>
      <c r="X41" s="86">
        <f t="shared" si="2"/>
        <v>4.4900695865568656E-2</v>
      </c>
      <c r="Y41" s="86"/>
      <c r="Z41" s="66"/>
      <c r="AA41" s="65"/>
    </row>
    <row r="42" spans="1:27" ht="12" customHeight="1" x14ac:dyDescent="0.25">
      <c r="A42" s="65">
        <v>523202</v>
      </c>
      <c r="B42" s="79">
        <v>523202</v>
      </c>
      <c r="C42" s="80" t="s">
        <v>58</v>
      </c>
      <c r="D42" s="88">
        <v>0</v>
      </c>
      <c r="E42" s="88">
        <f>IFERROR(VLOOKUP($B42,'OMF by Acct'!$A:$T,4,0),0)</f>
        <v>0</v>
      </c>
      <c r="F42" s="88">
        <f>IFERROR(VLOOKUP($B42,'OMF by Acct'!$A:$T,5,0),0)</f>
        <v>0</v>
      </c>
      <c r="G42" s="88">
        <f>IFERROR(VLOOKUP($B42,'OMF by Acct'!$A:$T,6,0),0)</f>
        <v>0</v>
      </c>
      <c r="H42" s="88">
        <f>IFERROR(VLOOKUP($B42,'OMF by Acct'!$A:$T,7,0),0)</f>
        <v>0</v>
      </c>
      <c r="I42" s="88">
        <v>0</v>
      </c>
      <c r="J42" s="88">
        <f>IFERROR(VLOOKUP($B42,'OMF by Acct'!$A:$T,9,0),0)</f>
        <v>0</v>
      </c>
      <c r="K42" s="89">
        <f>IFERROR(VLOOKUP($B42,'OMF by Acct'!$A:$T,10,0),0)</f>
        <v>0</v>
      </c>
      <c r="L42" s="89">
        <f>IFERROR(VLOOKUP($B42,'OMF by Acct'!$A:$T,11,0),0)</f>
        <v>0</v>
      </c>
      <c r="M42" s="90">
        <f>IFERROR(VLOOKUP($B42,'OMF by Acct'!$A:$T,12,0),0)</f>
        <v>0</v>
      </c>
      <c r="N42" s="89">
        <v>0</v>
      </c>
      <c r="O42" s="89">
        <f>IFERROR(VLOOKUP($B42,'OMF by Acct'!$A:$T,14,0),0)</f>
        <v>0</v>
      </c>
      <c r="P42" s="89">
        <v>1500000</v>
      </c>
      <c r="Q42" s="89">
        <v>285000</v>
      </c>
      <c r="R42" s="88">
        <f>IFERROR(VLOOKUP($B42,'OMF by Acct'!$A:$T,17,0),0)</f>
        <v>0</v>
      </c>
      <c r="S42" s="88">
        <v>0</v>
      </c>
      <c r="T42" s="88">
        <v>0</v>
      </c>
      <c r="U42" s="91">
        <f t="shared" si="0"/>
        <v>1785000</v>
      </c>
      <c r="V42" s="88">
        <v>2000000</v>
      </c>
      <c r="W42" s="92">
        <f t="shared" si="1"/>
        <v>-215000</v>
      </c>
      <c r="X42" s="86">
        <f t="shared" si="2"/>
        <v>-0.1075</v>
      </c>
      <c r="Y42" s="86"/>
      <c r="Z42" s="66"/>
      <c r="AA42" s="65"/>
    </row>
    <row r="43" spans="1:27" ht="12" customHeight="1" x14ac:dyDescent="0.25">
      <c r="A43" s="65">
        <v>523203</v>
      </c>
      <c r="B43" s="79">
        <v>523203</v>
      </c>
      <c r="C43" s="80" t="s">
        <v>64</v>
      </c>
      <c r="D43" s="88">
        <v>0</v>
      </c>
      <c r="E43" s="88">
        <f>IFERROR(VLOOKUP($B43,'OMF by Acct'!$A:$T,4,0),0)</f>
        <v>0</v>
      </c>
      <c r="F43" s="88">
        <f>IFERROR(VLOOKUP($B43,'OMF by Acct'!$A:$T,5,0),0)</f>
        <v>0</v>
      </c>
      <c r="G43" s="88">
        <f>IFERROR(VLOOKUP($B43,'OMF by Acct'!$A:$T,6,0),0)</f>
        <v>0</v>
      </c>
      <c r="H43" s="88">
        <f>IFERROR(VLOOKUP($B43,'OMF by Acct'!$A:$T,7,0),0)</f>
        <v>0</v>
      </c>
      <c r="I43" s="88">
        <v>0</v>
      </c>
      <c r="J43" s="88">
        <f>13369+19000+12000</f>
        <v>44369</v>
      </c>
      <c r="K43" s="89">
        <f>IFERROR(VLOOKUP($B43,'OMF by Acct'!$A:$T,10,0),0)</f>
        <v>0</v>
      </c>
      <c r="L43" s="89">
        <f>IFERROR(VLOOKUP($B43,'OMF by Acct'!$A:$T,11,0),0)</f>
        <v>0</v>
      </c>
      <c r="M43" s="90">
        <f>IFERROR(VLOOKUP($B43,'OMF by Acct'!$A:$T,12,0),0)</f>
        <v>0</v>
      </c>
      <c r="N43" s="89">
        <v>0</v>
      </c>
      <c r="O43" s="89">
        <f>IFERROR(VLOOKUP($B43,'OMF by Acct'!$A:$T,14,0),0)</f>
        <v>0</v>
      </c>
      <c r="P43" s="89">
        <v>0</v>
      </c>
      <c r="Q43" s="89">
        <v>0</v>
      </c>
      <c r="R43" s="88">
        <f>IFERROR(VLOOKUP($B43,'OMF by Acct'!$A:$T,17,0),0)</f>
        <v>0</v>
      </c>
      <c r="S43" s="88">
        <v>0</v>
      </c>
      <c r="T43" s="88">
        <v>0</v>
      </c>
      <c r="U43" s="91">
        <f t="shared" si="0"/>
        <v>44369</v>
      </c>
      <c r="V43" s="88">
        <v>44369</v>
      </c>
      <c r="W43" s="92">
        <f t="shared" si="1"/>
        <v>0</v>
      </c>
      <c r="X43" s="86">
        <f t="shared" si="2"/>
        <v>0</v>
      </c>
      <c r="Y43" s="86"/>
      <c r="Z43" s="66"/>
      <c r="AA43" s="65"/>
    </row>
    <row r="44" spans="1:27" ht="12" customHeight="1" x14ac:dyDescent="0.25">
      <c r="A44" s="65">
        <v>523301</v>
      </c>
      <c r="B44" s="79">
        <v>523301</v>
      </c>
      <c r="C44" s="80" t="s">
        <v>42</v>
      </c>
      <c r="D44" s="88">
        <v>0</v>
      </c>
      <c r="E44" s="88">
        <f>IFERROR(VLOOKUP($B44,'OMF by Acct'!$A:$T,4,0),0)</f>
        <v>0</v>
      </c>
      <c r="F44" s="88">
        <f>IFERROR(VLOOKUP($B44,'OMF by Acct'!$A:$T,5,0),0)</f>
        <v>0</v>
      </c>
      <c r="G44" s="88">
        <f>IFERROR(VLOOKUP($B44,'OMF by Acct'!$A:$T,6,0),0)</f>
        <v>222000</v>
      </c>
      <c r="H44" s="88">
        <f>IFERROR(VLOOKUP($B44,'OMF by Acct'!$A:$T,7,0),0)</f>
        <v>0</v>
      </c>
      <c r="I44" s="88">
        <v>0</v>
      </c>
      <c r="J44" s="88">
        <f>IFERROR(VLOOKUP($B44,'OMF by Acct'!$A:$T,9,0),0)</f>
        <v>0</v>
      </c>
      <c r="K44" s="89">
        <f>IFERROR(VLOOKUP($B44,'OMF by Acct'!$A:$T,10,0),0)</f>
        <v>0</v>
      </c>
      <c r="L44" s="89">
        <f>IFERROR(VLOOKUP($B44,'OMF by Acct'!$A:$T,11,0),0)</f>
        <v>0</v>
      </c>
      <c r="M44" s="90">
        <f>IFERROR(VLOOKUP($B44,'OMF by Acct'!$A:$T,12,0),0)</f>
        <v>0</v>
      </c>
      <c r="N44" s="89">
        <v>0</v>
      </c>
      <c r="O44" s="89">
        <f>IFERROR(VLOOKUP($B44,'OMF by Acct'!$A:$T,14,0),0)</f>
        <v>0</v>
      </c>
      <c r="P44" s="89">
        <v>0</v>
      </c>
      <c r="Q44" s="89">
        <v>0</v>
      </c>
      <c r="R44" s="88">
        <f>IFERROR(VLOOKUP($B44,'OMF by Acct'!$A:$T,17,0),0)</f>
        <v>0</v>
      </c>
      <c r="S44" s="88">
        <v>0</v>
      </c>
      <c r="T44" s="88">
        <v>0</v>
      </c>
      <c r="U44" s="91">
        <f t="shared" si="0"/>
        <v>222000</v>
      </c>
      <c r="V44" s="88">
        <v>120000</v>
      </c>
      <c r="W44" s="92">
        <f t="shared" si="1"/>
        <v>102000</v>
      </c>
      <c r="X44" s="86">
        <f t="shared" si="2"/>
        <v>0.85</v>
      </c>
      <c r="Y44" s="86"/>
      <c r="Z44" s="66"/>
      <c r="AA44" s="65"/>
    </row>
    <row r="45" spans="1:27" ht="12" customHeight="1" x14ac:dyDescent="0.25">
      <c r="A45" s="65">
        <v>523302</v>
      </c>
      <c r="B45" s="79">
        <v>523302</v>
      </c>
      <c r="C45" s="80" t="s">
        <v>65</v>
      </c>
      <c r="D45" s="88">
        <v>0</v>
      </c>
      <c r="E45" s="88">
        <f>IFERROR(VLOOKUP($B45,'OMF by Acct'!$A:$T,4,0),0)</f>
        <v>0</v>
      </c>
      <c r="F45" s="88">
        <f>IFERROR(VLOOKUP($B45,'OMF by Acct'!$A:$T,5,0),0)</f>
        <v>0</v>
      </c>
      <c r="G45" s="88">
        <f>IFERROR(VLOOKUP($B45,'OMF by Acct'!$A:$T,6,0),0)</f>
        <v>0</v>
      </c>
      <c r="H45" s="88">
        <f>IFERROR(VLOOKUP($B45,'OMF by Acct'!$A:$T,7,0),0)</f>
        <v>0</v>
      </c>
      <c r="I45" s="88">
        <v>0</v>
      </c>
      <c r="J45" s="88">
        <f>IFERROR(VLOOKUP($B45,'OMF by Acct'!$A:$T,9,0),0)</f>
        <v>0</v>
      </c>
      <c r="K45" s="89">
        <f>IFERROR(VLOOKUP($B45,'OMF by Acct'!$A:$T,10,0),0)</f>
        <v>0</v>
      </c>
      <c r="L45" s="89">
        <f>IFERROR(VLOOKUP($B45,'OMF by Acct'!$A:$T,11,0),0)</f>
        <v>0</v>
      </c>
      <c r="M45" s="90">
        <f>IFERROR(VLOOKUP($B45,'OMF by Acct'!$A:$T,12,0),0)</f>
        <v>0</v>
      </c>
      <c r="N45" s="89">
        <v>0</v>
      </c>
      <c r="O45" s="89">
        <f>IFERROR(VLOOKUP($B45,'OMF by Acct'!$A:$T,14,0),0)</f>
        <v>0</v>
      </c>
      <c r="P45" s="89">
        <v>0</v>
      </c>
      <c r="Q45" s="89">
        <v>0</v>
      </c>
      <c r="R45" s="88">
        <f>IFERROR(VLOOKUP($B45,'OMF by Acct'!$A:$T,17,0),0)</f>
        <v>0</v>
      </c>
      <c r="S45" s="88">
        <v>0</v>
      </c>
      <c r="T45" s="88">
        <v>0</v>
      </c>
      <c r="U45" s="91">
        <f t="shared" si="0"/>
        <v>0</v>
      </c>
      <c r="V45" s="88">
        <v>1618782</v>
      </c>
      <c r="W45" s="92">
        <f t="shared" si="1"/>
        <v>-1618782</v>
      </c>
      <c r="X45" s="96">
        <v>0</v>
      </c>
      <c r="Y45" s="86"/>
      <c r="Z45" s="66"/>
      <c r="AA45" s="65"/>
    </row>
    <row r="46" spans="1:27" ht="12" customHeight="1" x14ac:dyDescent="0.25">
      <c r="A46" s="65">
        <v>523303</v>
      </c>
      <c r="B46" s="79">
        <v>523303</v>
      </c>
      <c r="C46" s="80" t="s">
        <v>66</v>
      </c>
      <c r="D46" s="88">
        <v>0</v>
      </c>
      <c r="E46" s="88">
        <f>IFERROR(VLOOKUP($B46,'OMF by Acct'!$A:$T,4,0),0)</f>
        <v>0</v>
      </c>
      <c r="F46" s="88">
        <f>IFERROR(VLOOKUP($B46,'OMF by Acct'!$A:$T,5,0),0)</f>
        <v>0</v>
      </c>
      <c r="G46" s="88">
        <f>IFERROR(VLOOKUP($B46,'OMF by Acct'!$A:$T,6,0),0)</f>
        <v>0</v>
      </c>
      <c r="H46" s="88">
        <f>IFERROR(VLOOKUP($B46,'OMF by Acct'!$A:$T,7,0),0)</f>
        <v>0</v>
      </c>
      <c r="I46" s="88">
        <v>0</v>
      </c>
      <c r="J46" s="88">
        <f>IFERROR(VLOOKUP($B46,'OMF by Acct'!$A:$T,9,0),0)</f>
        <v>0</v>
      </c>
      <c r="K46" s="89">
        <f>IFERROR(VLOOKUP($B46,'OMF by Acct'!$A:$T,10,0),0)</f>
        <v>0</v>
      </c>
      <c r="L46" s="89">
        <f>IFERROR(VLOOKUP($B46,'OMF by Acct'!$A:$T,11,0),0)</f>
        <v>0</v>
      </c>
      <c r="M46" s="90">
        <f>IFERROR(VLOOKUP($B46,'OMF by Acct'!$A:$T,12,0),0)</f>
        <v>0</v>
      </c>
      <c r="N46" s="89">
        <v>0</v>
      </c>
      <c r="O46" s="89">
        <f>IFERROR(VLOOKUP($B46,'OMF by Acct'!$A:$T,14,0),0)</f>
        <v>0</v>
      </c>
      <c r="P46" s="89">
        <v>0</v>
      </c>
      <c r="Q46" s="89">
        <v>0</v>
      </c>
      <c r="R46" s="88">
        <f>IFERROR(VLOOKUP($B46,'OMF by Acct'!$A:$T,17,0),0)</f>
        <v>0</v>
      </c>
      <c r="S46" s="88">
        <v>0</v>
      </c>
      <c r="T46" s="88">
        <v>0</v>
      </c>
      <c r="U46" s="91">
        <f t="shared" si="0"/>
        <v>0</v>
      </c>
      <c r="V46" s="88">
        <v>1250499</v>
      </c>
      <c r="W46" s="92">
        <f t="shared" si="1"/>
        <v>-1250499</v>
      </c>
      <c r="X46" s="96">
        <v>0</v>
      </c>
      <c r="Y46" s="86"/>
      <c r="Z46" s="66"/>
      <c r="AA46" s="65"/>
    </row>
    <row r="47" spans="1:27" ht="12" customHeight="1" x14ac:dyDescent="0.25">
      <c r="A47" s="65">
        <v>523304</v>
      </c>
      <c r="B47" s="79">
        <v>523304</v>
      </c>
      <c r="C47" s="80" t="s">
        <v>67</v>
      </c>
      <c r="D47" s="88">
        <v>1000</v>
      </c>
      <c r="E47" s="88">
        <f>IFERROR(VLOOKUP($B47,'OMF by Acct'!$A:$T,4,0),0)</f>
        <v>0</v>
      </c>
      <c r="F47" s="88">
        <f>IFERROR(VLOOKUP($B47,'OMF by Acct'!$A:$T,5,0),0)</f>
        <v>0</v>
      </c>
      <c r="G47" s="88">
        <f>IFERROR(VLOOKUP($B47,'OMF by Acct'!$A:$T,6,0),0)</f>
        <v>16000</v>
      </c>
      <c r="H47" s="88">
        <f>IFERROR(VLOOKUP($B47,'OMF by Acct'!$A:$T,7,0),0)</f>
        <v>0</v>
      </c>
      <c r="I47" s="88">
        <v>0</v>
      </c>
      <c r="J47" s="88">
        <f>IFERROR(VLOOKUP($B47,'OMF by Acct'!$A:$T,9,0),0)</f>
        <v>0</v>
      </c>
      <c r="K47" s="89">
        <f>IFERROR(VLOOKUP($B47,'OMF by Acct'!$A:$T,10,0),0)</f>
        <v>124440</v>
      </c>
      <c r="L47" s="89">
        <f>IFERROR(VLOOKUP($B47,'OMF by Acct'!$A:$T,11,0),0)</f>
        <v>1715841</v>
      </c>
      <c r="M47" s="90">
        <f>IFERROR(VLOOKUP($B47,'OMF by Acct'!$A:$T,12,0),0)</f>
        <v>0</v>
      </c>
      <c r="N47" s="89">
        <v>700</v>
      </c>
      <c r="O47" s="89">
        <f>IFERROR(VLOOKUP($B47,'OMF by Acct'!$A:$T,14,0),0)</f>
        <v>100000</v>
      </c>
      <c r="P47" s="89">
        <v>0</v>
      </c>
      <c r="Q47" s="89">
        <v>0</v>
      </c>
      <c r="R47" s="88">
        <f>IFERROR(VLOOKUP($B47,'OMF by Acct'!$A:$T,17,0),0)</f>
        <v>0</v>
      </c>
      <c r="S47" s="88">
        <v>0</v>
      </c>
      <c r="T47" s="88">
        <v>5292</v>
      </c>
      <c r="U47" s="91">
        <f t="shared" si="0"/>
        <v>1963273</v>
      </c>
      <c r="V47" s="88">
        <v>1600000.2</v>
      </c>
      <c r="W47" s="92">
        <f t="shared" si="1"/>
        <v>363272.80000000005</v>
      </c>
      <c r="X47" s="86">
        <f t="shared" si="2"/>
        <v>0.2270454716193161</v>
      </c>
      <c r="Y47" s="86"/>
      <c r="Z47" s="66"/>
      <c r="AA47" s="65"/>
    </row>
    <row r="48" spans="1:27" ht="12" customHeight="1" x14ac:dyDescent="0.25">
      <c r="A48" s="65">
        <v>523305</v>
      </c>
      <c r="B48" s="79">
        <v>523305</v>
      </c>
      <c r="C48" s="80" t="s">
        <v>75</v>
      </c>
      <c r="D48" s="88">
        <v>0</v>
      </c>
      <c r="E48" s="88">
        <f>IFERROR(VLOOKUP($B48,'OMF by Acct'!$A:$T,4,0),0)</f>
        <v>0</v>
      </c>
      <c r="F48" s="88">
        <f>IFERROR(VLOOKUP($B48,'OMF by Acct'!$A:$T,5,0),0)</f>
        <v>0</v>
      </c>
      <c r="G48" s="88">
        <f>IFERROR(VLOOKUP($B48,'OMF by Acct'!$A:$T,6,0),0)</f>
        <v>0</v>
      </c>
      <c r="H48" s="88">
        <f>IFERROR(VLOOKUP($B48,'OMF by Acct'!$A:$T,7,0),0)</f>
        <v>800</v>
      </c>
      <c r="I48" s="88">
        <v>0</v>
      </c>
      <c r="J48" s="88">
        <f>IFERROR(VLOOKUP($B48,'OMF by Acct'!$A:$T,9,0),0)</f>
        <v>0</v>
      </c>
      <c r="K48" s="89">
        <f>IFERROR(VLOOKUP($B48,'OMF by Acct'!$A:$T,10,0),0)</f>
        <v>0</v>
      </c>
      <c r="L48" s="89">
        <f>IFERROR(VLOOKUP($B48,'OMF by Acct'!$A:$T,11,0),0)</f>
        <v>54678</v>
      </c>
      <c r="M48" s="90">
        <f>IFERROR(VLOOKUP($B48,'OMF by Acct'!$A:$T,12,0),0)</f>
        <v>0</v>
      </c>
      <c r="N48" s="89">
        <v>0</v>
      </c>
      <c r="O48" s="89">
        <f>IFERROR(VLOOKUP($B48,'OMF by Acct'!$A:$T,14,0),0)</f>
        <v>0</v>
      </c>
      <c r="P48" s="89">
        <v>0</v>
      </c>
      <c r="Q48" s="89">
        <v>0</v>
      </c>
      <c r="R48" s="88">
        <f>IFERROR(VLOOKUP($B48,'OMF by Acct'!$A:$T,17,0),0)</f>
        <v>0</v>
      </c>
      <c r="S48" s="88">
        <v>0</v>
      </c>
      <c r="T48" s="88">
        <v>0</v>
      </c>
      <c r="U48" s="91">
        <f t="shared" si="0"/>
        <v>55478</v>
      </c>
      <c r="V48" s="88">
        <v>54678</v>
      </c>
      <c r="W48" s="92">
        <f t="shared" si="1"/>
        <v>800</v>
      </c>
      <c r="X48" s="86">
        <f t="shared" si="2"/>
        <v>1.4631113061926186E-2</v>
      </c>
      <c r="Y48" s="86"/>
      <c r="Z48" s="66"/>
      <c r="AA48" s="65"/>
    </row>
    <row r="49" spans="1:27" ht="12" customHeight="1" x14ac:dyDescent="0.3">
      <c r="B49" s="97">
        <v>523306</v>
      </c>
      <c r="C49" s="80" t="s">
        <v>68</v>
      </c>
      <c r="D49" s="88">
        <v>0</v>
      </c>
      <c r="E49" s="88">
        <f>IFERROR(VLOOKUP($B49,'OMF by Acct'!$A:$T,4,0),0)</f>
        <v>0</v>
      </c>
      <c r="F49" s="88">
        <f>IFERROR(VLOOKUP($B49,'OMF by Acct'!$A:$T,5,0),0)</f>
        <v>0</v>
      </c>
      <c r="G49" s="88">
        <f>IFERROR(VLOOKUP($B49,'OMF by Acct'!$A:$T,6,0),0)</f>
        <v>0</v>
      </c>
      <c r="H49" s="88">
        <f>IFERROR(VLOOKUP($B49,'OMF by Acct'!$A:$T,7,0),0)</f>
        <v>0</v>
      </c>
      <c r="I49" s="88">
        <v>0</v>
      </c>
      <c r="J49" s="88">
        <f>IFERROR(VLOOKUP($B49,'OMF by Acct'!$A:$T,9,0),0)</f>
        <v>0</v>
      </c>
      <c r="K49" s="89">
        <f>IFERROR(VLOOKUP($B49,'OMF by Acct'!$A:$T,10,0),0)</f>
        <v>0</v>
      </c>
      <c r="L49" s="89">
        <f>IFERROR(VLOOKUP($B49,'OMF by Acct'!$A:$T,11,0),0)</f>
        <v>2169282</v>
      </c>
      <c r="M49" s="90">
        <f>IFERROR(VLOOKUP($B49,'OMF by Acct'!$A:$T,12,0),0)</f>
        <v>0</v>
      </c>
      <c r="N49" s="89">
        <v>0</v>
      </c>
      <c r="O49" s="89">
        <f>IFERROR(VLOOKUP($B49,'OMF by Acct'!$A:$T,14,0),0)</f>
        <v>0</v>
      </c>
      <c r="P49" s="89">
        <v>0</v>
      </c>
      <c r="Q49" s="89">
        <v>0</v>
      </c>
      <c r="R49" s="88">
        <f>IFERROR(VLOOKUP($B49,'OMF by Acct'!$A:$T,17,0),0)</f>
        <v>0</v>
      </c>
      <c r="S49" s="88">
        <v>0</v>
      </c>
      <c r="T49" s="88">
        <v>0</v>
      </c>
      <c r="U49" s="91">
        <f t="shared" si="0"/>
        <v>2169282</v>
      </c>
      <c r="V49" s="88">
        <v>0</v>
      </c>
      <c r="W49" s="92">
        <f t="shared" si="1"/>
        <v>2169282</v>
      </c>
      <c r="X49" s="96">
        <v>0</v>
      </c>
      <c r="Y49" s="86"/>
      <c r="Z49" s="66"/>
      <c r="AA49" s="65"/>
    </row>
    <row r="50" spans="1:27" ht="12" customHeight="1" x14ac:dyDescent="0.3">
      <c r="B50" s="97">
        <v>523307</v>
      </c>
      <c r="C50" s="80" t="s">
        <v>69</v>
      </c>
      <c r="D50" s="88">
        <v>0</v>
      </c>
      <c r="E50" s="88">
        <f>IFERROR(VLOOKUP($B50,'OMF by Acct'!$A:$T,4,0),0)</f>
        <v>0</v>
      </c>
      <c r="F50" s="88">
        <f>IFERROR(VLOOKUP($B50,'OMF by Acct'!$A:$T,5,0),0)</f>
        <v>0</v>
      </c>
      <c r="G50" s="88">
        <f>IFERROR(VLOOKUP($B50,'OMF by Acct'!$A:$T,6,0),0)</f>
        <v>0</v>
      </c>
      <c r="H50" s="88">
        <f>IFERROR(VLOOKUP($B50,'OMF by Acct'!$A:$T,7,0),0)</f>
        <v>0</v>
      </c>
      <c r="I50" s="88">
        <v>0</v>
      </c>
      <c r="J50" s="88">
        <f>IFERROR(VLOOKUP($B50,'OMF by Acct'!$A:$T,9,0),0)</f>
        <v>0</v>
      </c>
      <c r="K50" s="89">
        <f>IFERROR(VLOOKUP($B50,'OMF by Acct'!$A:$T,10,0),0)</f>
        <v>0</v>
      </c>
      <c r="L50" s="89">
        <f>IFERROR(VLOOKUP($B50,'OMF by Acct'!$A:$T,11,0),0)</f>
        <v>700000</v>
      </c>
      <c r="M50" s="90">
        <f>IFERROR(VLOOKUP($B50,'OMF by Acct'!$A:$T,12,0),0)</f>
        <v>0</v>
      </c>
      <c r="N50" s="89">
        <v>0</v>
      </c>
      <c r="O50" s="89">
        <f>IFERROR(VLOOKUP($B50,'OMF by Acct'!$A:$T,14,0),0)</f>
        <v>0</v>
      </c>
      <c r="P50" s="89">
        <v>0</v>
      </c>
      <c r="Q50" s="89">
        <v>0</v>
      </c>
      <c r="R50" s="88">
        <f>IFERROR(VLOOKUP($B50,'OMF by Acct'!$A:$T,17,0),0)</f>
        <v>0</v>
      </c>
      <c r="S50" s="88">
        <v>0</v>
      </c>
      <c r="T50" s="88">
        <v>0</v>
      </c>
      <c r="U50" s="91">
        <f t="shared" si="0"/>
        <v>700000</v>
      </c>
      <c r="V50" s="88">
        <v>0</v>
      </c>
      <c r="W50" s="92">
        <f t="shared" si="1"/>
        <v>700000</v>
      </c>
      <c r="X50" s="96">
        <v>0</v>
      </c>
      <c r="Y50" s="86"/>
      <c r="Z50" s="66"/>
      <c r="AA50" s="65"/>
    </row>
    <row r="51" spans="1:27" ht="12" customHeight="1" x14ac:dyDescent="0.25">
      <c r="A51" s="65">
        <v>523401</v>
      </c>
      <c r="B51" s="79">
        <v>523401</v>
      </c>
      <c r="C51" s="80" t="s">
        <v>70</v>
      </c>
      <c r="D51" s="88">
        <v>2500</v>
      </c>
      <c r="E51" s="88">
        <f>IFERROR(VLOOKUP($B51,'OMF by Acct'!$A:$T,4,0),0)</f>
        <v>0</v>
      </c>
      <c r="F51" s="88">
        <f>IFERROR(VLOOKUP($B51,'OMF by Acct'!$A:$T,5,0),0)</f>
        <v>0</v>
      </c>
      <c r="G51" s="88">
        <f>IFERROR(VLOOKUP($B51,'OMF by Acct'!$A:$T,6,0),0)</f>
        <v>0</v>
      </c>
      <c r="H51" s="88">
        <f>IFERROR(VLOOKUP($B51,'OMF by Acct'!$A:$T,7,0),0)</f>
        <v>0</v>
      </c>
      <c r="I51" s="88">
        <v>0</v>
      </c>
      <c r="J51" s="88">
        <f>IFERROR(VLOOKUP($B51,'OMF by Acct'!$A:$T,9,0),0)</f>
        <v>0</v>
      </c>
      <c r="K51" s="89">
        <f>IFERROR(VLOOKUP($B51,'OMF by Acct'!$A:$T,10,0),0)</f>
        <v>0</v>
      </c>
      <c r="L51" s="89">
        <f>IFERROR(VLOOKUP($B51,'OMF by Acct'!$A:$T,11,0),0)</f>
        <v>5931</v>
      </c>
      <c r="M51" s="90">
        <f>IFERROR(VLOOKUP($B51,'OMF by Acct'!$A:$T,12,0),0)</f>
        <v>0</v>
      </c>
      <c r="N51" s="89">
        <f>+'OMF by Acct'!M60</f>
        <v>5000</v>
      </c>
      <c r="O51" s="89">
        <f>IFERROR(VLOOKUP($B51,'OMF by Acct'!$A:$T,14,0),0)</f>
        <v>0</v>
      </c>
      <c r="P51" s="89">
        <v>0</v>
      </c>
      <c r="Q51" s="89">
        <v>0</v>
      </c>
      <c r="R51" s="88">
        <f>IFERROR(VLOOKUP($B51,'OMF by Acct'!$A:$T,17,0),0)</f>
        <v>0</v>
      </c>
      <c r="S51" s="88">
        <v>0</v>
      </c>
      <c r="T51" s="88">
        <v>0</v>
      </c>
      <c r="U51" s="91">
        <f t="shared" si="0"/>
        <v>13431</v>
      </c>
      <c r="V51" s="88">
        <v>25000</v>
      </c>
      <c r="W51" s="92">
        <f t="shared" si="1"/>
        <v>-11569</v>
      </c>
      <c r="X51" s="86">
        <f t="shared" si="2"/>
        <v>-0.46276</v>
      </c>
      <c r="Y51" s="86"/>
      <c r="Z51" s="66"/>
      <c r="AA51" s="65"/>
    </row>
    <row r="52" spans="1:27" ht="12" customHeight="1" x14ac:dyDescent="0.25">
      <c r="A52" s="65">
        <v>523402</v>
      </c>
      <c r="B52" s="79">
        <v>523402</v>
      </c>
      <c r="C52" s="80" t="s">
        <v>71</v>
      </c>
      <c r="D52" s="88">
        <v>0</v>
      </c>
      <c r="E52" s="88">
        <f>IFERROR(VLOOKUP($B52,'OMF by Acct'!$A:$T,4,0),0)</f>
        <v>0</v>
      </c>
      <c r="F52" s="88">
        <f>IFERROR(VLOOKUP($B52,'OMF by Acct'!$A:$T,5,0),0)</f>
        <v>0</v>
      </c>
      <c r="G52" s="88">
        <f>IFERROR(VLOOKUP($B52,'OMF by Acct'!$A:$T,6,0),0)</f>
        <v>0</v>
      </c>
      <c r="H52" s="88">
        <f>IFERROR(VLOOKUP($B52,'OMF by Acct'!$A:$T,7,0),0)</f>
        <v>0</v>
      </c>
      <c r="I52" s="88">
        <v>0</v>
      </c>
      <c r="J52" s="88">
        <f>IFERROR(VLOOKUP($B52,'OMF by Acct'!$A:$T,9,0),0)</f>
        <v>0</v>
      </c>
      <c r="K52" s="89">
        <f>IFERROR(VLOOKUP($B52,'OMF by Acct'!$A:$T,10,0),0)</f>
        <v>0</v>
      </c>
      <c r="L52" s="89">
        <f>IFERROR(VLOOKUP($B52,'OMF by Acct'!$A:$T,11,0),0)</f>
        <v>0</v>
      </c>
      <c r="M52" s="90">
        <f>IFERROR(VLOOKUP($B52,'OMF by Acct'!$A:$T,12,0),0)</f>
        <v>0</v>
      </c>
      <c r="N52" s="89">
        <v>0</v>
      </c>
      <c r="O52" s="89">
        <f>IFERROR(VLOOKUP($B52,'OMF by Acct'!$A:$T,14,0),0)</f>
        <v>0</v>
      </c>
      <c r="P52" s="89">
        <v>0</v>
      </c>
      <c r="Q52" s="89">
        <v>0</v>
      </c>
      <c r="R52" s="88">
        <f>IFERROR(VLOOKUP($B52,'OMF by Acct'!$A:$T,17,0),0)</f>
        <v>0</v>
      </c>
      <c r="S52" s="88">
        <v>0</v>
      </c>
      <c r="T52" s="88">
        <v>0</v>
      </c>
      <c r="U52" s="91">
        <f t="shared" si="0"/>
        <v>0</v>
      </c>
      <c r="V52" s="88">
        <v>25</v>
      </c>
      <c r="W52" s="92">
        <f t="shared" si="1"/>
        <v>-25</v>
      </c>
      <c r="X52" s="98">
        <v>0</v>
      </c>
      <c r="Y52" s="86"/>
      <c r="Z52" s="66"/>
      <c r="AA52" s="65"/>
    </row>
    <row r="53" spans="1:27" ht="12" customHeight="1" x14ac:dyDescent="0.25">
      <c r="A53" s="65">
        <v>523501</v>
      </c>
      <c r="B53" s="79">
        <v>523501</v>
      </c>
      <c r="C53" s="80" t="s">
        <v>76</v>
      </c>
      <c r="D53" s="88">
        <v>7000</v>
      </c>
      <c r="E53" s="88">
        <f>IFERROR(VLOOKUP($B53,'OMF by Acct'!$A:$T,4,0),0)</f>
        <v>20000</v>
      </c>
      <c r="F53" s="88">
        <f>IFERROR(VLOOKUP($B53,'OMF by Acct'!$A:$T,5,0),0)</f>
        <v>9926</v>
      </c>
      <c r="G53" s="88">
        <f>IFERROR(VLOOKUP($B53,'OMF by Acct'!$A:$T,6,0),0)</f>
        <v>11500</v>
      </c>
      <c r="H53" s="88">
        <f>IFERROR(VLOOKUP($B53,'OMF by Acct'!$A:$T,7,0),0)</f>
        <v>6000</v>
      </c>
      <c r="I53" s="88">
        <v>12869</v>
      </c>
      <c r="J53" s="88">
        <f>IFERROR(VLOOKUP($B53,'OMF by Acct'!$A:$T,9,0),0)</f>
        <v>15000</v>
      </c>
      <c r="K53" s="89">
        <f>IFERROR(VLOOKUP($B53,'OMF by Acct'!$A:$T,10,0),0)</f>
        <v>4400</v>
      </c>
      <c r="L53" s="89">
        <f>IFERROR(VLOOKUP($B53,'OMF by Acct'!$A:$T,11,0),0)</f>
        <v>52000</v>
      </c>
      <c r="M53" s="90">
        <f>IFERROR(VLOOKUP($B53,'OMF by Acct'!$A:$T,12,0),0)</f>
        <v>0</v>
      </c>
      <c r="N53" s="89">
        <f>+'OMF by Acct'!M66</f>
        <v>5000</v>
      </c>
      <c r="O53" s="89">
        <f>IFERROR(VLOOKUP($B53,'OMF by Acct'!$A:$T,14,0),0)</f>
        <v>20907</v>
      </c>
      <c r="P53" s="89">
        <v>62500</v>
      </c>
      <c r="Q53" s="89">
        <v>143800</v>
      </c>
      <c r="R53" s="88">
        <f>IFERROR(VLOOKUP($B53,'OMF by Acct'!$A:$T,17,0),0)</f>
        <v>55100</v>
      </c>
      <c r="S53" s="88">
        <v>5000</v>
      </c>
      <c r="T53" s="88">
        <v>18191</v>
      </c>
      <c r="U53" s="91">
        <f t="shared" si="0"/>
        <v>449193</v>
      </c>
      <c r="V53" s="88">
        <v>352404</v>
      </c>
      <c r="W53" s="92">
        <f t="shared" si="1"/>
        <v>96789</v>
      </c>
      <c r="X53" s="86">
        <f t="shared" si="2"/>
        <v>0.27465352266149079</v>
      </c>
      <c r="Y53" s="86"/>
      <c r="Z53" s="66"/>
      <c r="AA53" s="65"/>
    </row>
    <row r="54" spans="1:27" ht="12" customHeight="1" x14ac:dyDescent="0.25">
      <c r="A54" s="65">
        <v>523601</v>
      </c>
      <c r="B54" s="79">
        <v>523601</v>
      </c>
      <c r="C54" s="80" t="s">
        <v>77</v>
      </c>
      <c r="D54" s="88">
        <v>6000</v>
      </c>
      <c r="E54" s="88">
        <f>IFERROR(VLOOKUP($B54,'OMF by Acct'!$A:$T,4,0),0)</f>
        <v>63000</v>
      </c>
      <c r="F54" s="88">
        <f>IFERROR(VLOOKUP($B54,'OMF by Acct'!$A:$T,5,0),0)</f>
        <v>8500</v>
      </c>
      <c r="G54" s="88">
        <f>IFERROR(VLOOKUP($B54,'OMF by Acct'!$A:$T,6,0),0)</f>
        <v>5700</v>
      </c>
      <c r="H54" s="88">
        <f>IFERROR(VLOOKUP($B54,'OMF by Acct'!$A:$T,7,0),0)</f>
        <v>5100</v>
      </c>
      <c r="I54" s="88">
        <f>+'OMF by Acct'!H67</f>
        <v>12310</v>
      </c>
      <c r="J54" s="88">
        <f>IFERROR(VLOOKUP($B54,'OMF by Acct'!$A:$T,9,0),0)</f>
        <v>16647.25</v>
      </c>
      <c r="K54" s="89">
        <f>IFERROR(VLOOKUP($B54,'OMF by Acct'!$A:$T,10,0),0)</f>
        <v>58500</v>
      </c>
      <c r="L54" s="89">
        <f>IFERROR(VLOOKUP($B54,'OMF by Acct'!$A:$T,11,0),0)</f>
        <v>30000</v>
      </c>
      <c r="M54" s="90">
        <f>IFERROR(VLOOKUP($B54,'OMF by Acct'!$A:$T,12,0),0)</f>
        <v>1562</v>
      </c>
      <c r="N54" s="89">
        <v>375</v>
      </c>
      <c r="O54" s="89">
        <f>IFERROR(VLOOKUP($B54,'OMF by Acct'!$A:$T,14,0),0)</f>
        <v>44150</v>
      </c>
      <c r="P54" s="89">
        <v>8650</v>
      </c>
      <c r="Q54" s="89">
        <v>12850</v>
      </c>
      <c r="R54" s="88">
        <f>IFERROR(VLOOKUP($B54,'OMF by Acct'!$A:$T,17,0),0)</f>
        <v>13000</v>
      </c>
      <c r="S54" s="88">
        <v>1157</v>
      </c>
      <c r="T54" s="88">
        <v>6661</v>
      </c>
      <c r="U54" s="91">
        <f t="shared" si="0"/>
        <v>294162.25</v>
      </c>
      <c r="V54" s="88">
        <v>377860.64</v>
      </c>
      <c r="W54" s="92">
        <f t="shared" si="1"/>
        <v>-83698.390000000014</v>
      </c>
      <c r="X54" s="86">
        <f t="shared" si="2"/>
        <v>-0.22150597638325073</v>
      </c>
      <c r="Y54" s="86"/>
      <c r="Z54" s="66"/>
      <c r="AA54" s="65"/>
    </row>
    <row r="55" spans="1:27" ht="12" customHeight="1" x14ac:dyDescent="0.25">
      <c r="A55" s="65">
        <v>523701</v>
      </c>
      <c r="B55" s="79">
        <v>523701</v>
      </c>
      <c r="C55" s="80" t="s">
        <v>59</v>
      </c>
      <c r="D55" s="88">
        <v>5000</v>
      </c>
      <c r="E55" s="88">
        <f>IFERROR(VLOOKUP($B55,'OMF by Acct'!$A:$T,4,0),0)</f>
        <v>2628</v>
      </c>
      <c r="F55" s="88">
        <f>IFERROR(VLOOKUP($B55,'OMF by Acct'!$A:$T,5,0),0)</f>
        <v>0</v>
      </c>
      <c r="G55" s="88">
        <f>IFERROR(VLOOKUP($B55,'OMF by Acct'!$A:$T,6,0),0)</f>
        <v>68500</v>
      </c>
      <c r="H55" s="88">
        <f>IFERROR(VLOOKUP($B55,'OMF by Acct'!$A:$T,7,0),0)</f>
        <v>16000</v>
      </c>
      <c r="I55" s="88">
        <v>6846</v>
      </c>
      <c r="J55" s="88">
        <f>IFERROR(VLOOKUP($B55,'OMF by Acct'!$A:$T,9,0),0)</f>
        <v>15000</v>
      </c>
      <c r="K55" s="89">
        <f>IFERROR(VLOOKUP($B55,'OMF by Acct'!$A:$T,10,0),0)</f>
        <v>2844</v>
      </c>
      <c r="L55" s="89">
        <f>IFERROR(VLOOKUP($B55,'OMF by Acct'!$A:$T,11,0),0)</f>
        <v>11454</v>
      </c>
      <c r="M55" s="90">
        <f>IFERROR(VLOOKUP($B55,'OMF by Acct'!$A:$T,12,0),0)</f>
        <v>0</v>
      </c>
      <c r="N55" s="89">
        <f>+'OMF by Acct'!M48</f>
        <v>3090</v>
      </c>
      <c r="O55" s="89">
        <f>IFERROR(VLOOKUP($B55,'OMF by Acct'!$A:$T,14,0),0)</f>
        <v>39900</v>
      </c>
      <c r="P55" s="89">
        <v>86000</v>
      </c>
      <c r="Q55" s="89">
        <v>104065</v>
      </c>
      <c r="R55" s="88">
        <f>IFERROR(VLOOKUP($B55,'OMF by Acct'!$A:$T,17,0),0)</f>
        <v>23500</v>
      </c>
      <c r="S55" s="88">
        <v>10486</v>
      </c>
      <c r="T55" s="88">
        <v>36708</v>
      </c>
      <c r="U55" s="91">
        <f t="shared" si="0"/>
        <v>432021</v>
      </c>
      <c r="V55" s="88">
        <v>371644.52</v>
      </c>
      <c r="W55" s="92">
        <f t="shared" si="1"/>
        <v>60376.479999999981</v>
      </c>
      <c r="X55" s="86">
        <f t="shared" si="2"/>
        <v>0.16245760868477216</v>
      </c>
      <c r="Y55" s="86"/>
      <c r="Z55" s="66"/>
      <c r="AA55" s="65"/>
    </row>
    <row r="56" spans="1:27" ht="12" customHeight="1" x14ac:dyDescent="0.25">
      <c r="A56" s="65">
        <v>523801</v>
      </c>
      <c r="B56" s="79">
        <v>523801</v>
      </c>
      <c r="C56" s="80" t="s">
        <v>49</v>
      </c>
      <c r="D56" s="88">
        <v>650</v>
      </c>
      <c r="E56" s="88">
        <f>IFERROR(VLOOKUP($B56,'OMF by Acct'!$A:$T,4,0),0)</f>
        <v>0</v>
      </c>
      <c r="F56" s="88">
        <f>IFERROR(VLOOKUP($B56,'OMF by Acct'!$A:$T,5,0),0)</f>
        <v>0</v>
      </c>
      <c r="G56" s="88">
        <f>IFERROR(VLOOKUP($B56,'OMF by Acct'!$A:$T,6,0),0)</f>
        <v>0</v>
      </c>
      <c r="H56" s="88">
        <f>IFERROR(VLOOKUP($B56,'OMF by Acct'!$A:$T,7,0),0)</f>
        <v>1055</v>
      </c>
      <c r="I56" s="88">
        <v>0</v>
      </c>
      <c r="J56" s="88">
        <f>IFERROR(VLOOKUP($B56,'OMF by Acct'!$A:$T,9,0),0)</f>
        <v>0</v>
      </c>
      <c r="K56" s="89">
        <f>IFERROR(VLOOKUP($B56,'OMF by Acct'!$A:$T,10,0),0)</f>
        <v>0</v>
      </c>
      <c r="L56" s="89">
        <f>IFERROR(VLOOKUP($B56,'OMF by Acct'!$A:$T,11,0),0)</f>
        <v>0</v>
      </c>
      <c r="M56" s="90">
        <f>IFERROR(VLOOKUP($B56,'OMF by Acct'!$A:$T,12,0),0)</f>
        <v>0</v>
      </c>
      <c r="N56" s="89">
        <v>0</v>
      </c>
      <c r="O56" s="89">
        <f>IFERROR(VLOOKUP($B56,'OMF by Acct'!$A:$T,14,0),0)</f>
        <v>0</v>
      </c>
      <c r="P56" s="89">
        <v>100</v>
      </c>
      <c r="Q56" s="89">
        <v>17070</v>
      </c>
      <c r="R56" s="88">
        <f>IFERROR(VLOOKUP($B56,'OMF by Acct'!$A:$T,17,0),0)</f>
        <v>300</v>
      </c>
      <c r="S56" s="88">
        <v>667</v>
      </c>
      <c r="T56" s="88">
        <v>0</v>
      </c>
      <c r="U56" s="91">
        <f t="shared" si="0"/>
        <v>19842</v>
      </c>
      <c r="V56" s="88">
        <v>25056</v>
      </c>
      <c r="W56" s="92">
        <f t="shared" si="1"/>
        <v>-5214</v>
      </c>
      <c r="X56" s="86">
        <f t="shared" si="2"/>
        <v>-0.20809386973180077</v>
      </c>
      <c r="Y56" s="86"/>
      <c r="Z56" s="66"/>
      <c r="AA56" s="65"/>
    </row>
    <row r="57" spans="1:27" ht="12" customHeight="1" x14ac:dyDescent="0.25">
      <c r="A57" s="65">
        <v>523851</v>
      </c>
      <c r="B57" s="79">
        <v>523851</v>
      </c>
      <c r="C57" s="80" t="s">
        <v>43</v>
      </c>
      <c r="D57" s="88">
        <v>0</v>
      </c>
      <c r="E57" s="88">
        <f>IFERROR(VLOOKUP($B57,'OMF by Acct'!$A:$T,4,0),0)</f>
        <v>0</v>
      </c>
      <c r="F57" s="88">
        <f>IFERROR(VLOOKUP($B57,'OMF by Acct'!$A:$T,5,0),0)</f>
        <v>0</v>
      </c>
      <c r="G57" s="88">
        <f>IFERROR(VLOOKUP($B57,'OMF by Acct'!$A:$T,6,0),0)</f>
        <v>100000</v>
      </c>
      <c r="H57" s="88">
        <f>IFERROR(VLOOKUP($B57,'OMF by Acct'!$A:$T,7,0),0)</f>
        <v>0</v>
      </c>
      <c r="I57" s="88">
        <v>0</v>
      </c>
      <c r="J57" s="88">
        <f>IFERROR(VLOOKUP($B57,'OMF by Acct'!$A:$T,9,0),0)</f>
        <v>0</v>
      </c>
      <c r="K57" s="89">
        <f>IFERROR(VLOOKUP($B57,'OMF by Acct'!$A:$T,10,0),0)</f>
        <v>0</v>
      </c>
      <c r="L57" s="89">
        <f>IFERROR(VLOOKUP($B57,'OMF by Acct'!$A:$T,11,0),0)</f>
        <v>0</v>
      </c>
      <c r="M57" s="90">
        <f>IFERROR(VLOOKUP($B57,'OMF by Acct'!$A:$T,12,0),0)</f>
        <v>0</v>
      </c>
      <c r="N57" s="89">
        <v>0</v>
      </c>
      <c r="O57" s="89">
        <f>IFERROR(VLOOKUP($B57,'OMF by Acct'!$A:$T,14,0),0)</f>
        <v>15250000</v>
      </c>
      <c r="P57" s="89">
        <v>40000</v>
      </c>
      <c r="Q57" s="89">
        <v>77000</v>
      </c>
      <c r="R57" s="88">
        <f>IFERROR(VLOOKUP($B57,'OMF by Acct'!$A:$T,17,0),0)</f>
        <v>0</v>
      </c>
      <c r="S57" s="88">
        <v>0</v>
      </c>
      <c r="T57" s="88">
        <v>0</v>
      </c>
      <c r="U57" s="91">
        <f t="shared" si="0"/>
        <v>15467000</v>
      </c>
      <c r="V57" s="88">
        <v>14717000</v>
      </c>
      <c r="W57" s="92">
        <f t="shared" si="1"/>
        <v>750000</v>
      </c>
      <c r="X57" s="86">
        <f t="shared" si="2"/>
        <v>5.0961473126316506E-2</v>
      </c>
      <c r="Y57" s="86"/>
      <c r="Z57" s="66"/>
      <c r="AA57" s="65"/>
    </row>
    <row r="58" spans="1:27" ht="12" customHeight="1" x14ac:dyDescent="0.25">
      <c r="A58" s="65">
        <v>523902</v>
      </c>
      <c r="B58" s="79">
        <v>523902</v>
      </c>
      <c r="C58" s="80" t="s">
        <v>78</v>
      </c>
      <c r="D58" s="88">
        <v>0</v>
      </c>
      <c r="E58" s="88">
        <f>IFERROR(VLOOKUP($B58,'OMF by Acct'!$A:$T,4,0),0)</f>
        <v>0</v>
      </c>
      <c r="F58" s="88">
        <f>IFERROR(VLOOKUP($B58,'OMF by Acct'!$A:$T,5,0),0)</f>
        <v>0</v>
      </c>
      <c r="G58" s="88">
        <f>IFERROR(VLOOKUP($B58,'OMF by Acct'!$A:$T,6,0),0)</f>
        <v>0</v>
      </c>
      <c r="H58" s="88">
        <f>IFERROR(VLOOKUP($B58,'OMF by Acct'!$A:$T,7,0),0)</f>
        <v>0</v>
      </c>
      <c r="I58" s="88">
        <v>0</v>
      </c>
      <c r="J58" s="88">
        <f>IFERROR(VLOOKUP($B58,'OMF by Acct'!$A:$T,9,0),0)</f>
        <v>0</v>
      </c>
      <c r="K58" s="89">
        <f>IFERROR(VLOOKUP($B58,'OMF by Acct'!$A:$T,10,0),0)</f>
        <v>0</v>
      </c>
      <c r="L58" s="89">
        <f>IFERROR(VLOOKUP($B58,'OMF by Acct'!$A:$T,11,0),0)</f>
        <v>0</v>
      </c>
      <c r="M58" s="90">
        <f>IFERROR(VLOOKUP($B58,'OMF by Acct'!$A:$T,12,0),0)</f>
        <v>0</v>
      </c>
      <c r="N58" s="89">
        <v>0</v>
      </c>
      <c r="O58" s="89">
        <f>IFERROR(VLOOKUP($B58,'OMF by Acct'!$A:$T,14,0),0)</f>
        <v>0</v>
      </c>
      <c r="P58" s="89">
        <v>0</v>
      </c>
      <c r="Q58" s="89">
        <v>0</v>
      </c>
      <c r="R58" s="88">
        <f>IFERROR(VLOOKUP($B58,'OMF by Acct'!$A:$T,17,0),0)</f>
        <v>0</v>
      </c>
      <c r="S58" s="88">
        <v>0</v>
      </c>
      <c r="T58" s="88">
        <v>9800</v>
      </c>
      <c r="U58" s="91">
        <f t="shared" si="0"/>
        <v>9800</v>
      </c>
      <c r="V58" s="88">
        <v>9800</v>
      </c>
      <c r="W58" s="98">
        <v>0</v>
      </c>
      <c r="X58" s="98">
        <v>0</v>
      </c>
      <c r="Y58" s="86"/>
      <c r="Z58" s="66"/>
      <c r="AA58" s="65"/>
    </row>
    <row r="59" spans="1:27" ht="12" customHeight="1" x14ac:dyDescent="0.25">
      <c r="A59" s="65">
        <v>531101</v>
      </c>
      <c r="B59" s="79">
        <v>531101</v>
      </c>
      <c r="C59" s="80" t="s">
        <v>79</v>
      </c>
      <c r="D59" s="88">
        <v>3500</v>
      </c>
      <c r="E59" s="88">
        <f>IFERROR(VLOOKUP($B59,'OMF by Acct'!$A:$T,4,0),0)</f>
        <v>400</v>
      </c>
      <c r="F59" s="88">
        <f>IFERROR(VLOOKUP($B59,'OMF by Acct'!$A:$T,5,0),0)</f>
        <v>2020</v>
      </c>
      <c r="G59" s="88">
        <f>IFERROR(VLOOKUP($B59,'OMF by Acct'!$A:$T,6,0),0)</f>
        <v>5000</v>
      </c>
      <c r="H59" s="88">
        <f>IFERROR(VLOOKUP($B59,'OMF by Acct'!$A:$T,7,0),0)</f>
        <v>850</v>
      </c>
      <c r="I59" s="88">
        <v>42129</v>
      </c>
      <c r="J59" s="88">
        <f>IFERROR(VLOOKUP($B59,'OMF by Acct'!$A:$T,9,0),0)</f>
        <v>4184</v>
      </c>
      <c r="K59" s="89">
        <f>IFERROR(VLOOKUP($B59,'OMF by Acct'!$A:$T,10,0),0)</f>
        <v>1500</v>
      </c>
      <c r="L59" s="89">
        <f>IFERROR(VLOOKUP($B59,'OMF by Acct'!$A:$T,11,0),0)</f>
        <v>5583</v>
      </c>
      <c r="M59" s="90">
        <f>IFERROR(VLOOKUP($B59,'OMF by Acct'!$A:$T,12,0),0)</f>
        <v>246076</v>
      </c>
      <c r="N59" s="89">
        <f>+'OMF by Acct'!M69</f>
        <v>1105</v>
      </c>
      <c r="O59" s="89">
        <f>IFERROR(VLOOKUP($B59,'OMF by Acct'!$A:$T,14,0),0)</f>
        <v>98300</v>
      </c>
      <c r="P59" s="89">
        <v>20200</v>
      </c>
      <c r="Q59" s="89">
        <v>20000</v>
      </c>
      <c r="R59" s="88">
        <f>IFERROR(VLOOKUP($B59,'OMF by Acct'!$A:$T,17,0),0)</f>
        <v>20000</v>
      </c>
      <c r="S59" s="88">
        <v>2041</v>
      </c>
      <c r="T59" s="88">
        <v>9854</v>
      </c>
      <c r="U59" s="91">
        <f t="shared" si="0"/>
        <v>482742</v>
      </c>
      <c r="V59" s="88">
        <v>462983</v>
      </c>
      <c r="W59" s="92">
        <f t="shared" si="1"/>
        <v>19759</v>
      </c>
      <c r="X59" s="86">
        <f t="shared" si="2"/>
        <v>4.2677592913778692E-2</v>
      </c>
      <c r="Y59" s="86"/>
      <c r="Z59" s="66"/>
      <c r="AA59" s="65"/>
    </row>
    <row r="60" spans="1:27" ht="12" customHeight="1" x14ac:dyDescent="0.25">
      <c r="A60" s="65">
        <v>531102</v>
      </c>
      <c r="B60" s="79">
        <v>531102</v>
      </c>
      <c r="C60" s="80" t="s">
        <v>50</v>
      </c>
      <c r="D60" s="88">
        <v>0</v>
      </c>
      <c r="E60" s="88">
        <f>IFERROR(VLOOKUP($B60,'OMF by Acct'!$A:$T,4,0),0)</f>
        <v>0</v>
      </c>
      <c r="F60" s="88">
        <f>IFERROR(VLOOKUP($B60,'OMF by Acct'!$A:$T,5,0),0)</f>
        <v>0</v>
      </c>
      <c r="G60" s="88">
        <f>IFERROR(VLOOKUP($B60,'OMF by Acct'!$A:$T,6,0),0)</f>
        <v>0</v>
      </c>
      <c r="H60" s="88">
        <f>IFERROR(VLOOKUP($B60,'OMF by Acct'!$A:$T,7,0),0)</f>
        <v>0</v>
      </c>
      <c r="I60" s="88">
        <v>0</v>
      </c>
      <c r="J60" s="88">
        <f>IFERROR(VLOOKUP($B60,'OMF by Acct'!$A:$T,9,0),0)</f>
        <v>0</v>
      </c>
      <c r="K60" s="89">
        <f>IFERROR(VLOOKUP($B60,'OMF by Acct'!$A:$T,10,0),0)</f>
        <v>0</v>
      </c>
      <c r="L60" s="89">
        <f>IFERROR(VLOOKUP($B60,'OMF by Acct'!$A:$T,11,0),0)</f>
        <v>948</v>
      </c>
      <c r="M60" s="90">
        <f>IFERROR(VLOOKUP($B60,'OMF by Acct'!$A:$T,12,0),0)</f>
        <v>0</v>
      </c>
      <c r="N60" s="89">
        <v>0</v>
      </c>
      <c r="O60" s="89">
        <f>IFERROR(VLOOKUP($B60,'OMF by Acct'!$A:$T,14,0),0)</f>
        <v>0</v>
      </c>
      <c r="P60" s="89">
        <v>74700</v>
      </c>
      <c r="Q60" s="89">
        <v>7089825</v>
      </c>
      <c r="R60" s="88">
        <f>IFERROR(VLOOKUP($B60,'OMF by Acct'!$A:$T,17,0),0)</f>
        <v>0</v>
      </c>
      <c r="S60" s="88">
        <v>0</v>
      </c>
      <c r="T60" s="88">
        <v>151068.04999999999</v>
      </c>
      <c r="U60" s="91">
        <f t="shared" si="0"/>
        <v>7316541.0499999998</v>
      </c>
      <c r="V60" s="88">
        <v>6108487.4800000004</v>
      </c>
      <c r="W60" s="92">
        <f t="shared" si="1"/>
        <v>1208053.5699999994</v>
      </c>
      <c r="X60" s="86">
        <f t="shared" si="2"/>
        <v>0.19776639863064749</v>
      </c>
      <c r="Y60" s="86"/>
      <c r="Z60" s="66"/>
      <c r="AA60" s="65"/>
    </row>
    <row r="61" spans="1:27" ht="12" customHeight="1" x14ac:dyDescent="0.25">
      <c r="A61" s="65">
        <v>531103</v>
      </c>
      <c r="B61" s="79">
        <v>531103</v>
      </c>
      <c r="C61" s="80" t="s">
        <v>60</v>
      </c>
      <c r="D61" s="88">
        <v>0</v>
      </c>
      <c r="E61" s="88">
        <f>IFERROR(VLOOKUP($B61,'OMF by Acct'!$A:$T,4,0),0)</f>
        <v>0</v>
      </c>
      <c r="F61" s="88">
        <f>IFERROR(VLOOKUP($B61,'OMF by Acct'!$A:$T,5,0),0)</f>
        <v>0</v>
      </c>
      <c r="G61" s="88">
        <f>IFERROR(VLOOKUP($B61,'OMF by Acct'!$A:$T,6,0),0)</f>
        <v>0</v>
      </c>
      <c r="H61" s="88">
        <f>IFERROR(VLOOKUP($B61,'OMF by Acct'!$A:$T,7,0),0)</f>
        <v>0</v>
      </c>
      <c r="I61" s="88">
        <v>0</v>
      </c>
      <c r="J61" s="88">
        <f>IFERROR(VLOOKUP($B61,'OMF by Acct'!$A:$T,9,0),0)</f>
        <v>0</v>
      </c>
      <c r="K61" s="89">
        <f>IFERROR(VLOOKUP($B61,'OMF by Acct'!$A:$T,10,0),0)</f>
        <v>0</v>
      </c>
      <c r="L61" s="89">
        <f>IFERROR(VLOOKUP($B61,'OMF by Acct'!$A:$T,11,0),0)</f>
        <v>0</v>
      </c>
      <c r="M61" s="90">
        <f>IFERROR(VLOOKUP($B61,'OMF by Acct'!$A:$T,12,0),0)</f>
        <v>0</v>
      </c>
      <c r="N61" s="89">
        <v>0</v>
      </c>
      <c r="O61" s="89">
        <f>IFERROR(VLOOKUP($B61,'OMF by Acct'!$A:$T,14,0),0)</f>
        <v>0</v>
      </c>
      <c r="P61" s="89">
        <v>0</v>
      </c>
      <c r="Q61" s="89">
        <v>2020000</v>
      </c>
      <c r="R61" s="88">
        <f>IFERROR(VLOOKUP($B61,'OMF by Acct'!$A:$T,17,0),0)</f>
        <v>0</v>
      </c>
      <c r="S61" s="88">
        <v>0</v>
      </c>
      <c r="T61" s="88">
        <v>0</v>
      </c>
      <c r="U61" s="91">
        <f t="shared" si="0"/>
        <v>2020000</v>
      </c>
      <c r="V61" s="88">
        <v>1479285</v>
      </c>
      <c r="W61" s="92">
        <f t="shared" si="1"/>
        <v>540715</v>
      </c>
      <c r="X61" s="86">
        <f t="shared" si="2"/>
        <v>0.36552456085203322</v>
      </c>
      <c r="Y61" s="86"/>
      <c r="Z61" s="66"/>
      <c r="AA61" s="65"/>
    </row>
    <row r="62" spans="1:27" ht="12" customHeight="1" x14ac:dyDescent="0.25">
      <c r="A62" s="65">
        <v>531105</v>
      </c>
      <c r="B62" s="79">
        <v>531105</v>
      </c>
      <c r="C62" s="80" t="s">
        <v>80</v>
      </c>
      <c r="D62" s="88">
        <v>420</v>
      </c>
      <c r="E62" s="88">
        <f>IFERROR(VLOOKUP($B62,'OMF by Acct'!$A:$T,4,0),0)</f>
        <v>60</v>
      </c>
      <c r="F62" s="88">
        <f>IFERROR(VLOOKUP($B62,'OMF by Acct'!$A:$T,5,0),0)</f>
        <v>1257</v>
      </c>
      <c r="G62" s="88">
        <f>IFERROR(VLOOKUP($B62,'OMF by Acct'!$A:$T,6,0),0)</f>
        <v>483</v>
      </c>
      <c r="H62" s="88">
        <f>IFERROR(VLOOKUP($B62,'OMF by Acct'!$A:$T,7,0),0)</f>
        <v>0</v>
      </c>
      <c r="I62" s="88">
        <v>472</v>
      </c>
      <c r="J62" s="88">
        <f>IFERROR(VLOOKUP($B62,'OMF by Acct'!$A:$T,9,0),0)</f>
        <v>90</v>
      </c>
      <c r="K62" s="89">
        <f>IFERROR(VLOOKUP($B62,'OMF by Acct'!$A:$T,10,0),0)</f>
        <v>0</v>
      </c>
      <c r="L62" s="89">
        <f>IFERROR(VLOOKUP($B62,'OMF by Acct'!$A:$T,11,0),0)</f>
        <v>250</v>
      </c>
      <c r="M62" s="90">
        <f>IFERROR(VLOOKUP($B62,'OMF by Acct'!$A:$T,12,0),0)</f>
        <v>0</v>
      </c>
      <c r="N62" s="89">
        <v>200</v>
      </c>
      <c r="O62" s="89">
        <f>IFERROR(VLOOKUP($B62,'OMF by Acct'!$A:$T,14,0),0)</f>
        <v>375</v>
      </c>
      <c r="P62" s="89">
        <v>2000</v>
      </c>
      <c r="Q62" s="89">
        <v>400</v>
      </c>
      <c r="R62" s="88">
        <f>IFERROR(VLOOKUP($B62,'OMF by Acct'!$A:$T,17,0),0)</f>
        <v>215</v>
      </c>
      <c r="S62" s="88">
        <v>407</v>
      </c>
      <c r="T62" s="88">
        <v>106</v>
      </c>
      <c r="U62" s="91">
        <f t="shared" si="0"/>
        <v>6735</v>
      </c>
      <c r="V62" s="88">
        <v>7000</v>
      </c>
      <c r="W62" s="92">
        <f t="shared" si="1"/>
        <v>-265</v>
      </c>
      <c r="X62" s="86">
        <f t="shared" si="2"/>
        <v>-3.785714285714286E-2</v>
      </c>
      <c r="Y62" s="86"/>
      <c r="Z62" s="66"/>
      <c r="AA62" s="65"/>
    </row>
    <row r="63" spans="1:27" ht="12" customHeight="1" x14ac:dyDescent="0.25">
      <c r="A63" s="65">
        <v>531106</v>
      </c>
      <c r="B63" s="79">
        <v>531106</v>
      </c>
      <c r="C63" s="80" t="s">
        <v>99</v>
      </c>
      <c r="D63" s="88">
        <v>0</v>
      </c>
      <c r="E63" s="88">
        <f>IFERROR(VLOOKUP($B63,'OMF by Acct'!$A:$T,4,0),0)</f>
        <v>0</v>
      </c>
      <c r="F63" s="88">
        <f>IFERROR(VLOOKUP($B63,'OMF by Acct'!$A:$T,5,0),0)</f>
        <v>0</v>
      </c>
      <c r="G63" s="88">
        <f>IFERROR(VLOOKUP($B63,'OMF by Acct'!$A:$T,6,0),0)</f>
        <v>0</v>
      </c>
      <c r="H63" s="88">
        <f>IFERROR(VLOOKUP($B63,'OMF by Acct'!$A:$T,7,0),0)</f>
        <v>0</v>
      </c>
      <c r="I63" s="88">
        <v>0</v>
      </c>
      <c r="J63" s="88">
        <f>IFERROR(VLOOKUP($B63,'OMF by Acct'!$A:$T,9,0),0)</f>
        <v>0</v>
      </c>
      <c r="K63" s="89">
        <f>IFERROR(VLOOKUP($B63,'OMF by Acct'!$A:$T,10,0),0)</f>
        <v>0</v>
      </c>
      <c r="L63" s="89">
        <f>IFERROR(VLOOKUP($B63,'OMF by Acct'!$A:$T,11,0),0)</f>
        <v>0</v>
      </c>
      <c r="M63" s="90">
        <f>IFERROR(VLOOKUP($B63,'OMF by Acct'!$A:$T,12,0),0)</f>
        <v>0</v>
      </c>
      <c r="N63" s="89">
        <v>0</v>
      </c>
      <c r="O63" s="89">
        <f>IFERROR(VLOOKUP($B63,'OMF by Acct'!$A:$T,14,0),0)</f>
        <v>0</v>
      </c>
      <c r="P63" s="90">
        <v>1888500</v>
      </c>
      <c r="Q63" s="89">
        <v>0</v>
      </c>
      <c r="R63" s="88">
        <f>IFERROR(VLOOKUP($B63,'OMF by Acct'!$A:$T,17,0),0)</f>
        <v>0</v>
      </c>
      <c r="S63" s="88">
        <v>0</v>
      </c>
      <c r="T63" s="88">
        <v>0</v>
      </c>
      <c r="U63" s="91">
        <f t="shared" si="0"/>
        <v>1888500</v>
      </c>
      <c r="V63" s="88">
        <v>1888500</v>
      </c>
      <c r="W63" s="98">
        <v>0</v>
      </c>
      <c r="X63" s="98">
        <v>0</v>
      </c>
      <c r="Y63" s="86"/>
      <c r="Z63" s="66"/>
      <c r="AA63" s="65"/>
    </row>
    <row r="64" spans="1:27" ht="12" customHeight="1" x14ac:dyDescent="0.25">
      <c r="A64" s="65">
        <v>531107</v>
      </c>
      <c r="B64" s="79">
        <v>531107</v>
      </c>
      <c r="C64" s="80" t="s">
        <v>51</v>
      </c>
      <c r="D64" s="88">
        <v>0</v>
      </c>
      <c r="E64" s="88">
        <f>IFERROR(VLOOKUP($B64,'OMF by Acct'!$A:$T,4,0),0)</f>
        <v>0</v>
      </c>
      <c r="F64" s="88">
        <f>IFERROR(VLOOKUP($B64,'OMF by Acct'!$A:$T,5,0),0)</f>
        <v>0</v>
      </c>
      <c r="G64" s="88">
        <f>IFERROR(VLOOKUP($B64,'OMF by Acct'!$A:$T,6,0),0)</f>
        <v>0</v>
      </c>
      <c r="H64" s="88">
        <f>IFERROR(VLOOKUP($B64,'OMF by Acct'!$A:$T,7,0),0)</f>
        <v>0</v>
      </c>
      <c r="I64" s="88">
        <v>0</v>
      </c>
      <c r="J64" s="88">
        <f>IFERROR(VLOOKUP($B64,'OMF by Acct'!$A:$T,9,0),0)</f>
        <v>0</v>
      </c>
      <c r="K64" s="89">
        <f>IFERROR(VLOOKUP($B64,'OMF by Acct'!$A:$T,10,0),0)</f>
        <v>0</v>
      </c>
      <c r="L64" s="89">
        <f>IFERROR(VLOOKUP($B64,'OMF by Acct'!$A:$T,11,0),0)</f>
        <v>0</v>
      </c>
      <c r="M64" s="90">
        <f>IFERROR(VLOOKUP($B64,'OMF by Acct'!$A:$T,12,0),0)</f>
        <v>0</v>
      </c>
      <c r="N64" s="89">
        <v>0</v>
      </c>
      <c r="O64" s="89">
        <f>IFERROR(VLOOKUP($B64,'OMF by Acct'!$A:$T,14,0),0)</f>
        <v>0</v>
      </c>
      <c r="P64" s="89">
        <v>0</v>
      </c>
      <c r="Q64" s="89">
        <v>2250000</v>
      </c>
      <c r="R64" s="88">
        <f>IFERROR(VLOOKUP($B64,'OMF by Acct'!$A:$T,17,0),0)</f>
        <v>0</v>
      </c>
      <c r="S64" s="88">
        <v>0</v>
      </c>
      <c r="T64" s="88">
        <v>0</v>
      </c>
      <c r="U64" s="91">
        <f t="shared" si="0"/>
        <v>2250000</v>
      </c>
      <c r="V64" s="88">
        <v>2010000</v>
      </c>
      <c r="W64" s="92">
        <f t="shared" si="1"/>
        <v>240000</v>
      </c>
      <c r="X64" s="86">
        <f t="shared" si="2"/>
        <v>0.11940298507462686</v>
      </c>
      <c r="Y64" s="86"/>
      <c r="Z64" s="66"/>
      <c r="AA64" s="65"/>
    </row>
    <row r="65" spans="1:27" ht="12" customHeight="1" x14ac:dyDescent="0.25">
      <c r="A65" s="65">
        <v>531211</v>
      </c>
      <c r="B65" s="79">
        <v>531211</v>
      </c>
      <c r="C65" s="80" t="s">
        <v>52</v>
      </c>
      <c r="D65" s="88">
        <v>0</v>
      </c>
      <c r="E65" s="88">
        <f>IFERROR(VLOOKUP($B65,'OMF by Acct'!$A:$T,4,0),0)</f>
        <v>0</v>
      </c>
      <c r="F65" s="88">
        <f>IFERROR(VLOOKUP($B65,'OMF by Acct'!$A:$T,5,0),0)</f>
        <v>0</v>
      </c>
      <c r="G65" s="88">
        <f>IFERROR(VLOOKUP($B65,'OMF by Acct'!$A:$T,6,0),0)</f>
        <v>0</v>
      </c>
      <c r="H65" s="88">
        <f>IFERROR(VLOOKUP($B65,'OMF by Acct'!$A:$T,7,0),0)</f>
        <v>0</v>
      </c>
      <c r="I65" s="88">
        <v>0</v>
      </c>
      <c r="J65" s="88">
        <f>IFERROR(VLOOKUP($B65,'OMF by Acct'!$A:$T,9,0),0)</f>
        <v>0</v>
      </c>
      <c r="K65" s="89">
        <f>IFERROR(VLOOKUP($B65,'OMF by Acct'!$A:$T,10,0),0)</f>
        <v>0</v>
      </c>
      <c r="L65" s="89">
        <f>IFERROR(VLOOKUP($B65,'OMF by Acct'!$A:$T,11,0),0)</f>
        <v>0</v>
      </c>
      <c r="M65" s="90">
        <f>IFERROR(VLOOKUP($B65,'OMF by Acct'!$A:$T,12,0),0)</f>
        <v>0</v>
      </c>
      <c r="N65" s="89">
        <v>0</v>
      </c>
      <c r="O65" s="89">
        <f>IFERROR(VLOOKUP($B65,'OMF by Acct'!$A:$T,14,0),0)</f>
        <v>0</v>
      </c>
      <c r="P65" s="89">
        <v>0</v>
      </c>
      <c r="Q65" s="89">
        <v>1200000</v>
      </c>
      <c r="R65" s="88">
        <f>IFERROR(VLOOKUP($B65,'OMF by Acct'!$A:$T,17,0),0)</f>
        <v>0</v>
      </c>
      <c r="S65" s="88">
        <v>0</v>
      </c>
      <c r="T65" s="88">
        <v>0</v>
      </c>
      <c r="U65" s="91">
        <f t="shared" si="0"/>
        <v>1200000</v>
      </c>
      <c r="V65" s="88">
        <v>950000</v>
      </c>
      <c r="W65" s="92">
        <f t="shared" si="1"/>
        <v>250000</v>
      </c>
      <c r="X65" s="86">
        <f t="shared" si="2"/>
        <v>0.26315789473684209</v>
      </c>
      <c r="Y65" s="86"/>
      <c r="Z65" s="66"/>
      <c r="AA65" s="65"/>
    </row>
    <row r="66" spans="1:27" ht="12" customHeight="1" x14ac:dyDescent="0.25">
      <c r="A66" s="65">
        <v>531221</v>
      </c>
      <c r="B66" s="79">
        <v>531221</v>
      </c>
      <c r="C66" s="80" t="s">
        <v>53</v>
      </c>
      <c r="D66" s="88">
        <v>0</v>
      </c>
      <c r="E66" s="88">
        <f>IFERROR(VLOOKUP($B66,'OMF by Acct'!$A:$T,4,0),0)</f>
        <v>0</v>
      </c>
      <c r="F66" s="88">
        <f>IFERROR(VLOOKUP($B66,'OMF by Acct'!$A:$T,5,0),0)</f>
        <v>0</v>
      </c>
      <c r="G66" s="88">
        <f>IFERROR(VLOOKUP($B66,'OMF by Acct'!$A:$T,6,0),0)</f>
        <v>0</v>
      </c>
      <c r="H66" s="88">
        <f>IFERROR(VLOOKUP($B66,'OMF by Acct'!$A:$T,7,0),0)</f>
        <v>0</v>
      </c>
      <c r="I66" s="88">
        <v>0</v>
      </c>
      <c r="J66" s="88">
        <f>IFERROR(VLOOKUP($B66,'OMF by Acct'!$A:$T,9,0),0)</f>
        <v>0</v>
      </c>
      <c r="K66" s="89">
        <f>IFERROR(VLOOKUP($B66,'OMF by Acct'!$A:$T,10,0),0)</f>
        <v>0</v>
      </c>
      <c r="L66" s="89">
        <f>IFERROR(VLOOKUP($B66,'OMF by Acct'!$A:$T,11,0),0)</f>
        <v>0</v>
      </c>
      <c r="M66" s="90">
        <f>IFERROR(VLOOKUP($B66,'OMF by Acct'!$A:$T,12,0),0)</f>
        <v>0</v>
      </c>
      <c r="N66" s="89">
        <v>0</v>
      </c>
      <c r="O66" s="89">
        <f>IFERROR(VLOOKUP($B66,'OMF by Acct'!$A:$T,14,0),0)</f>
        <v>0</v>
      </c>
      <c r="P66" s="89">
        <v>0</v>
      </c>
      <c r="Q66" s="89">
        <v>72000</v>
      </c>
      <c r="R66" s="88">
        <f>IFERROR(VLOOKUP($B66,'OMF by Acct'!$A:$T,17,0),0)</f>
        <v>0</v>
      </c>
      <c r="S66" s="88">
        <v>0</v>
      </c>
      <c r="T66" s="88">
        <v>0</v>
      </c>
      <c r="U66" s="91">
        <f t="shared" si="0"/>
        <v>72000</v>
      </c>
      <c r="V66" s="88">
        <v>61127</v>
      </c>
      <c r="W66" s="92">
        <f t="shared" si="1"/>
        <v>10873</v>
      </c>
      <c r="X66" s="86">
        <f t="shared" si="2"/>
        <v>0.17787557053347947</v>
      </c>
      <c r="Y66" s="86"/>
      <c r="Z66" s="66"/>
      <c r="AA66" s="65"/>
    </row>
    <row r="67" spans="1:27" ht="12" customHeight="1" x14ac:dyDescent="0.25">
      <c r="A67" s="65">
        <v>531231</v>
      </c>
      <c r="B67" s="79">
        <v>531231</v>
      </c>
      <c r="C67" s="80" t="s">
        <v>54</v>
      </c>
      <c r="D67" s="88">
        <v>0</v>
      </c>
      <c r="E67" s="88">
        <f>IFERROR(VLOOKUP($B67,'OMF by Acct'!$A:$T,4,0),0)</f>
        <v>0</v>
      </c>
      <c r="F67" s="88">
        <f>IFERROR(VLOOKUP($B67,'OMF by Acct'!$A:$T,5,0),0)</f>
        <v>0</v>
      </c>
      <c r="G67" s="88">
        <f>IFERROR(VLOOKUP($B67,'OMF by Acct'!$A:$T,6,0),0)</f>
        <v>0</v>
      </c>
      <c r="H67" s="88">
        <f>IFERROR(VLOOKUP($B67,'OMF by Acct'!$A:$T,7,0),0)</f>
        <v>0</v>
      </c>
      <c r="I67" s="88">
        <v>0</v>
      </c>
      <c r="J67" s="88">
        <f>IFERROR(VLOOKUP($B67,'OMF by Acct'!$A:$T,9,0),0)</f>
        <v>0</v>
      </c>
      <c r="K67" s="89">
        <f>IFERROR(VLOOKUP($B67,'OMF by Acct'!$A:$T,10,0),0)</f>
        <v>0</v>
      </c>
      <c r="L67" s="89">
        <f>IFERROR(VLOOKUP($B67,'OMF by Acct'!$A:$T,11,0),0)</f>
        <v>0</v>
      </c>
      <c r="M67" s="90">
        <f>IFERROR(VLOOKUP($B67,'OMF by Acct'!$A:$T,12,0),0)</f>
        <v>0</v>
      </c>
      <c r="N67" s="89">
        <v>0</v>
      </c>
      <c r="O67" s="89">
        <f>IFERROR(VLOOKUP($B67,'OMF by Acct'!$A:$T,14,0),0)</f>
        <v>0</v>
      </c>
      <c r="P67" s="89">
        <v>0</v>
      </c>
      <c r="Q67" s="89">
        <v>2900000</v>
      </c>
      <c r="R67" s="88">
        <f>IFERROR(VLOOKUP($B67,'OMF by Acct'!$A:$T,17,0),0)</f>
        <v>0</v>
      </c>
      <c r="S67" s="88">
        <v>0</v>
      </c>
      <c r="T67" s="88">
        <v>0</v>
      </c>
      <c r="U67" s="91">
        <f t="shared" si="0"/>
        <v>2900000</v>
      </c>
      <c r="V67" s="88">
        <v>2900000</v>
      </c>
      <c r="W67" s="98">
        <v>0</v>
      </c>
      <c r="X67" s="98">
        <v>0</v>
      </c>
      <c r="Y67" s="86"/>
      <c r="Z67" s="66"/>
      <c r="AA67" s="65"/>
    </row>
    <row r="68" spans="1:27" ht="12" customHeight="1" x14ac:dyDescent="0.25">
      <c r="B68" s="79">
        <v>531261</v>
      </c>
      <c r="C68" s="80" t="s">
        <v>100</v>
      </c>
      <c r="D68" s="88">
        <v>0</v>
      </c>
      <c r="E68" s="88">
        <f>IFERROR(VLOOKUP($B68,'OMF by Acct'!$A:$T,4,0),0)</f>
        <v>0</v>
      </c>
      <c r="F68" s="88">
        <f>IFERROR(VLOOKUP($B68,'OMF by Acct'!$A:$T,5,0),0)</f>
        <v>0</v>
      </c>
      <c r="G68" s="88">
        <f>IFERROR(VLOOKUP($B68,'OMF by Acct'!$A:$T,6,0),0)</f>
        <v>0</v>
      </c>
      <c r="H68" s="88">
        <f>IFERROR(VLOOKUP($B68,'OMF by Acct'!$A:$T,7,0),0)</f>
        <v>0</v>
      </c>
      <c r="I68" s="88">
        <v>0</v>
      </c>
      <c r="J68" s="88">
        <f>IFERROR(VLOOKUP($B68,'OMF by Acct'!$A:$T,9,0),0)</f>
        <v>0</v>
      </c>
      <c r="K68" s="89">
        <f>IFERROR(VLOOKUP($B68,'OMF by Acct'!$A:$T,10,0),0)</f>
        <v>0</v>
      </c>
      <c r="L68" s="89">
        <f>IFERROR(VLOOKUP($B68,'OMF by Acct'!$A:$T,11,0),0)</f>
        <v>0</v>
      </c>
      <c r="M68" s="90">
        <f>IFERROR(VLOOKUP($B68,'OMF by Acct'!$A:$T,12,0),0)</f>
        <v>0</v>
      </c>
      <c r="N68" s="89">
        <v>0</v>
      </c>
      <c r="O68" s="89">
        <f>IFERROR(VLOOKUP($B68,'OMF by Acct'!$A:$T,14,0),0)</f>
        <v>0</v>
      </c>
      <c r="P68" s="89">
        <v>0</v>
      </c>
      <c r="Q68" s="89">
        <v>0</v>
      </c>
      <c r="R68" s="88">
        <f>IFERROR(VLOOKUP($B68,'OMF by Acct'!$A:$T,17,0),0)</f>
        <v>0</v>
      </c>
      <c r="S68" s="88">
        <v>1332446</v>
      </c>
      <c r="T68" s="88">
        <v>0</v>
      </c>
      <c r="U68" s="91">
        <f t="shared" si="0"/>
        <v>1332446</v>
      </c>
      <c r="V68" s="88">
        <v>0</v>
      </c>
      <c r="W68" s="92">
        <f t="shared" si="1"/>
        <v>1332446</v>
      </c>
      <c r="X68" s="98">
        <v>0</v>
      </c>
      <c r="Y68" s="86"/>
      <c r="Z68" s="66"/>
      <c r="AA68" s="65"/>
    </row>
    <row r="69" spans="1:27" ht="12" customHeight="1" x14ac:dyDescent="0.25">
      <c r="A69" s="65">
        <v>531401</v>
      </c>
      <c r="B69" s="79">
        <v>531401</v>
      </c>
      <c r="C69" s="80" t="s">
        <v>81</v>
      </c>
      <c r="D69" s="88">
        <v>0</v>
      </c>
      <c r="E69" s="88">
        <f>IFERROR(VLOOKUP($B69,'OMF by Acct'!$A:$T,4,0),0)</f>
        <v>0</v>
      </c>
      <c r="F69" s="88">
        <f>IFERROR(VLOOKUP($B69,'OMF by Acct'!$A:$T,5,0),0)</f>
        <v>0</v>
      </c>
      <c r="G69" s="88">
        <f>IFERROR(VLOOKUP($B69,'OMF by Acct'!$A:$T,6,0),0)</f>
        <v>0</v>
      </c>
      <c r="H69" s="88">
        <f>IFERROR(VLOOKUP($B69,'OMF by Acct'!$A:$T,7,0),0)</f>
        <v>250</v>
      </c>
      <c r="I69" s="88">
        <v>0</v>
      </c>
      <c r="J69" s="88">
        <f>IFERROR(VLOOKUP($B69,'OMF by Acct'!$A:$T,9,0),0)</f>
        <v>0</v>
      </c>
      <c r="K69" s="89">
        <f>IFERROR(VLOOKUP($B69,'OMF by Acct'!$A:$T,10,0),0)</f>
        <v>0</v>
      </c>
      <c r="L69" s="89">
        <f>IFERROR(VLOOKUP($B69,'OMF by Acct'!$A:$T,11,0),0)</f>
        <v>0</v>
      </c>
      <c r="M69" s="90">
        <f>IFERROR(VLOOKUP($B69,'OMF by Acct'!$A:$T,12,0),0)</f>
        <v>0</v>
      </c>
      <c r="N69" s="89">
        <v>0</v>
      </c>
      <c r="O69" s="89">
        <f>IFERROR(VLOOKUP($B69,'OMF by Acct'!$A:$T,14,0),0)</f>
        <v>0</v>
      </c>
      <c r="P69" s="89">
        <v>0</v>
      </c>
      <c r="Q69" s="89">
        <v>0</v>
      </c>
      <c r="R69" s="88">
        <f>IFERROR(VLOOKUP($B69,'OMF by Acct'!$A:$T,17,0),0)</f>
        <v>0</v>
      </c>
      <c r="S69" s="88">
        <v>0</v>
      </c>
      <c r="T69" s="88">
        <v>0</v>
      </c>
      <c r="U69" s="91">
        <f t="shared" si="0"/>
        <v>250</v>
      </c>
      <c r="V69" s="88">
        <v>250</v>
      </c>
      <c r="W69" s="98">
        <v>0</v>
      </c>
      <c r="X69" s="98">
        <v>0</v>
      </c>
      <c r="Y69" s="86"/>
      <c r="Z69" s="66"/>
      <c r="AA69" s="65"/>
    </row>
    <row r="70" spans="1:27" ht="12" customHeight="1" x14ac:dyDescent="0.25">
      <c r="A70" s="65">
        <v>531501</v>
      </c>
      <c r="B70" s="79">
        <v>531501</v>
      </c>
      <c r="C70" s="80" t="s">
        <v>61</v>
      </c>
      <c r="D70" s="88">
        <v>0</v>
      </c>
      <c r="E70" s="88">
        <f>IFERROR(VLOOKUP($B70,'OMF by Acct'!$A:$T,4,0),0)</f>
        <v>0</v>
      </c>
      <c r="F70" s="88">
        <f>IFERROR(VLOOKUP($B70,'OMF by Acct'!$A:$T,5,0),0)</f>
        <v>0</v>
      </c>
      <c r="G70" s="88">
        <f>IFERROR(VLOOKUP($B70,'OMF by Acct'!$A:$T,6,0),0)</f>
        <v>0</v>
      </c>
      <c r="H70" s="88">
        <f>IFERROR(VLOOKUP($B70,'OMF by Acct'!$A:$T,7,0),0)</f>
        <v>0</v>
      </c>
      <c r="I70" s="88">
        <v>0</v>
      </c>
      <c r="J70" s="88">
        <f>IFERROR(VLOOKUP($B70,'OMF by Acct'!$A:$T,9,0),0)</f>
        <v>0</v>
      </c>
      <c r="K70" s="89">
        <f>IFERROR(VLOOKUP($B70,'OMF by Acct'!$A:$T,10,0),0)</f>
        <v>0</v>
      </c>
      <c r="L70" s="89">
        <f>IFERROR(VLOOKUP($B70,'OMF by Acct'!$A:$T,11,0),0)</f>
        <v>0</v>
      </c>
      <c r="M70" s="90">
        <f>IFERROR(VLOOKUP($B70,'OMF by Acct'!$A:$T,12,0),0)</f>
        <v>0</v>
      </c>
      <c r="N70" s="89">
        <v>0</v>
      </c>
      <c r="O70" s="89">
        <f>IFERROR(VLOOKUP($B70,'OMF by Acct'!$A:$T,14,0),0)</f>
        <v>1750000</v>
      </c>
      <c r="P70" s="89">
        <v>0</v>
      </c>
      <c r="Q70" s="89">
        <v>0</v>
      </c>
      <c r="R70" s="88">
        <f>IFERROR(VLOOKUP($B70,'OMF by Acct'!$A:$T,17,0),0)</f>
        <v>0</v>
      </c>
      <c r="S70" s="88">
        <v>0</v>
      </c>
      <c r="T70" s="88">
        <v>0</v>
      </c>
      <c r="U70" s="91">
        <f t="shared" si="0"/>
        <v>1750000</v>
      </c>
      <c r="V70" s="88">
        <v>1500000</v>
      </c>
      <c r="W70" s="92">
        <f t="shared" si="1"/>
        <v>250000</v>
      </c>
      <c r="X70" s="86">
        <f t="shared" si="2"/>
        <v>0.16666666666666666</v>
      </c>
      <c r="Y70" s="86"/>
      <c r="Z70" s="66"/>
      <c r="AA70" s="65"/>
    </row>
    <row r="71" spans="1:27" ht="12" customHeight="1" x14ac:dyDescent="0.25">
      <c r="A71" s="65">
        <v>531601</v>
      </c>
      <c r="B71" s="79">
        <v>531601</v>
      </c>
      <c r="C71" s="80" t="s">
        <v>55</v>
      </c>
      <c r="D71" s="88">
        <v>0</v>
      </c>
      <c r="E71" s="88">
        <f>IFERROR(VLOOKUP($B71,'OMF by Acct'!$A:$T,4,0),0)</f>
        <v>0</v>
      </c>
      <c r="F71" s="88">
        <f>IFERROR(VLOOKUP($B71,'OMF by Acct'!$A:$T,5,0),0)</f>
        <v>0</v>
      </c>
      <c r="G71" s="88">
        <f>IFERROR(VLOOKUP($B71,'OMF by Acct'!$A:$T,6,0),0)</f>
        <v>0</v>
      </c>
      <c r="H71" s="88">
        <f>IFERROR(VLOOKUP($B71,'OMF by Acct'!$A:$T,7,0),0)</f>
        <v>0</v>
      </c>
      <c r="I71" s="88">
        <v>0</v>
      </c>
      <c r="J71" s="88">
        <f>IFERROR(VLOOKUP($B71,'OMF by Acct'!$A:$T,9,0),0)</f>
        <v>0</v>
      </c>
      <c r="K71" s="89">
        <f>IFERROR(VLOOKUP($B71,'OMF by Acct'!$A:$T,10,0),0)</f>
        <v>0</v>
      </c>
      <c r="L71" s="89">
        <f>IFERROR(VLOOKUP($B71,'OMF by Acct'!$A:$T,11,0),0)</f>
        <v>0</v>
      </c>
      <c r="M71" s="90">
        <f>IFERROR(VLOOKUP($B71,'OMF by Acct'!$A:$T,12,0),0)</f>
        <v>0</v>
      </c>
      <c r="N71" s="89">
        <v>0</v>
      </c>
      <c r="O71" s="89">
        <f>IFERROR(VLOOKUP($B71,'OMF by Acct'!$A:$T,14,0),0)</f>
        <v>0</v>
      </c>
      <c r="P71" s="89">
        <v>0</v>
      </c>
      <c r="Q71" s="89">
        <v>287802</v>
      </c>
      <c r="R71" s="88">
        <f>IFERROR(VLOOKUP($B71,'OMF by Acct'!$A:$T,17,0),0)</f>
        <v>0</v>
      </c>
      <c r="S71" s="88">
        <v>0</v>
      </c>
      <c r="T71" s="88">
        <v>150000</v>
      </c>
      <c r="U71" s="91">
        <f t="shared" si="0"/>
        <v>437802</v>
      </c>
      <c r="V71" s="88">
        <v>344922</v>
      </c>
      <c r="W71" s="92">
        <f t="shared" si="1"/>
        <v>92880</v>
      </c>
      <c r="X71" s="86">
        <f t="shared" si="2"/>
        <v>0.2692782716092334</v>
      </c>
      <c r="Y71" s="86"/>
      <c r="Z71" s="66"/>
      <c r="AA71" s="65"/>
    </row>
    <row r="72" spans="1:27" ht="12" customHeight="1" x14ac:dyDescent="0.25">
      <c r="A72" s="65">
        <v>531611</v>
      </c>
      <c r="B72" s="79">
        <v>531611</v>
      </c>
      <c r="C72" s="80" t="s">
        <v>101</v>
      </c>
      <c r="D72" s="88">
        <v>0</v>
      </c>
      <c r="E72" s="88">
        <f>IFERROR(VLOOKUP($B72,'OMF by Acct'!$A:$T,4,0),0)</f>
        <v>0</v>
      </c>
      <c r="F72" s="88">
        <f>IFERROR(VLOOKUP($B72,'OMF by Acct'!$A:$T,5,0),0)</f>
        <v>0</v>
      </c>
      <c r="G72" s="88">
        <f>IFERROR(VLOOKUP($B72,'OMF by Acct'!$A:$T,6,0),0)</f>
        <v>0</v>
      </c>
      <c r="H72" s="88">
        <f>IFERROR(VLOOKUP($B72,'OMF by Acct'!$A:$T,7,0),0)</f>
        <v>0</v>
      </c>
      <c r="I72" s="88">
        <v>0</v>
      </c>
      <c r="J72" s="88">
        <f>IFERROR(VLOOKUP($B72,'OMF by Acct'!$A:$T,9,0),0)</f>
        <v>0</v>
      </c>
      <c r="K72" s="89">
        <f>IFERROR(VLOOKUP($B72,'OMF by Acct'!$A:$T,10,0),0)</f>
        <v>0</v>
      </c>
      <c r="L72" s="89">
        <f>IFERROR(VLOOKUP($B72,'OMF by Acct'!$A:$T,11,0),0)</f>
        <v>0</v>
      </c>
      <c r="M72" s="90">
        <f>IFERROR(VLOOKUP($B72,'OMF by Acct'!$A:$T,12,0),0)</f>
        <v>0</v>
      </c>
      <c r="N72" s="89">
        <v>0</v>
      </c>
      <c r="O72" s="89">
        <f>IFERROR(VLOOKUP($B72,'OMF by Acct'!$A:$T,14,0),0)</f>
        <v>0</v>
      </c>
      <c r="P72" s="90">
        <v>0</v>
      </c>
      <c r="Q72" s="89">
        <v>1185100</v>
      </c>
      <c r="R72" s="88">
        <f>IFERROR(VLOOKUP($B72,'OMF by Acct'!$A:$T,17,0),0)</f>
        <v>0</v>
      </c>
      <c r="S72" s="88">
        <v>0</v>
      </c>
      <c r="T72" s="88">
        <v>0</v>
      </c>
      <c r="U72" s="91">
        <f t="shared" si="0"/>
        <v>1185100</v>
      </c>
      <c r="V72" s="88">
        <v>1684700</v>
      </c>
      <c r="W72" s="92">
        <f t="shared" si="1"/>
        <v>-499600</v>
      </c>
      <c r="X72" s="86">
        <f t="shared" si="2"/>
        <v>-0.29655131477414376</v>
      </c>
      <c r="Y72" s="86"/>
      <c r="Z72" s="66"/>
      <c r="AA72" s="65"/>
    </row>
    <row r="73" spans="1:27" ht="12" customHeight="1" x14ac:dyDescent="0.25">
      <c r="A73" s="65">
        <v>531621</v>
      </c>
      <c r="B73" s="79">
        <v>531621</v>
      </c>
      <c r="C73" s="80" t="s">
        <v>102</v>
      </c>
      <c r="D73" s="88">
        <v>0</v>
      </c>
      <c r="E73" s="88">
        <f>IFERROR(VLOOKUP($B73,'OMF by Acct'!$A:$T,4,0),0)</f>
        <v>0</v>
      </c>
      <c r="F73" s="88">
        <f>IFERROR(VLOOKUP($B73,'OMF by Acct'!$A:$T,5,0),0)</f>
        <v>0</v>
      </c>
      <c r="G73" s="88">
        <f>IFERROR(VLOOKUP($B73,'OMF by Acct'!$A:$T,6,0),0)</f>
        <v>0</v>
      </c>
      <c r="H73" s="88">
        <f>IFERROR(VLOOKUP($B73,'OMF by Acct'!$A:$T,7,0),0)</f>
        <v>0</v>
      </c>
      <c r="I73" s="88">
        <v>0</v>
      </c>
      <c r="J73" s="88">
        <f>IFERROR(VLOOKUP($B73,'OMF by Acct'!$A:$T,9,0),0)</f>
        <v>0</v>
      </c>
      <c r="K73" s="89">
        <f>IFERROR(VLOOKUP($B73,'OMF by Acct'!$A:$T,10,0),0)</f>
        <v>0</v>
      </c>
      <c r="L73" s="89">
        <f>IFERROR(VLOOKUP($B73,'OMF by Acct'!$A:$T,11,0),0)</f>
        <v>0</v>
      </c>
      <c r="M73" s="90">
        <f>IFERROR(VLOOKUP($B73,'OMF by Acct'!$A:$T,12,0),0)</f>
        <v>0</v>
      </c>
      <c r="N73" s="89">
        <v>0</v>
      </c>
      <c r="O73" s="89">
        <f>IFERROR(VLOOKUP($B73,'OMF by Acct'!$A:$T,14,0),0)</f>
        <v>0</v>
      </c>
      <c r="P73" s="90">
        <v>0</v>
      </c>
      <c r="Q73" s="89">
        <v>7426000</v>
      </c>
      <c r="R73" s="88">
        <f>IFERROR(VLOOKUP($B73,'OMF by Acct'!$A:$T,17,0),0)</f>
        <v>0</v>
      </c>
      <c r="S73" s="88">
        <v>0</v>
      </c>
      <c r="T73" s="88">
        <v>0</v>
      </c>
      <c r="U73" s="91">
        <f t="shared" si="0"/>
        <v>7426000</v>
      </c>
      <c r="V73" s="88">
        <v>5467700</v>
      </c>
      <c r="W73" s="92">
        <f t="shared" si="1"/>
        <v>1958300</v>
      </c>
      <c r="X73" s="86">
        <f t="shared" si="2"/>
        <v>0.35815790917570461</v>
      </c>
      <c r="Y73" s="86"/>
      <c r="Z73" s="66"/>
      <c r="AA73" s="65"/>
    </row>
    <row r="74" spans="1:27" ht="12" customHeight="1" x14ac:dyDescent="0.25">
      <c r="A74" s="65">
        <v>531641</v>
      </c>
      <c r="B74" s="79">
        <v>531641</v>
      </c>
      <c r="C74" s="80" t="s">
        <v>103</v>
      </c>
      <c r="D74" s="88">
        <v>0</v>
      </c>
      <c r="E74" s="88">
        <f>IFERROR(VLOOKUP($B74,'OMF by Acct'!$A:$T,4,0),0)</f>
        <v>0</v>
      </c>
      <c r="F74" s="88">
        <f>IFERROR(VLOOKUP($B74,'OMF by Acct'!$A:$T,5,0),0)</f>
        <v>0</v>
      </c>
      <c r="G74" s="88">
        <f>IFERROR(VLOOKUP($B74,'OMF by Acct'!$A:$T,6,0),0)</f>
        <v>0</v>
      </c>
      <c r="H74" s="88">
        <f>IFERROR(VLOOKUP($B74,'OMF by Acct'!$A:$T,7,0),0)</f>
        <v>0</v>
      </c>
      <c r="I74" s="88">
        <v>0</v>
      </c>
      <c r="J74" s="88">
        <f>IFERROR(VLOOKUP($B74,'OMF by Acct'!$A:$T,9,0),0)</f>
        <v>0</v>
      </c>
      <c r="K74" s="89">
        <f>IFERROR(VLOOKUP($B74,'OMF by Acct'!$A:$T,10,0),0)</f>
        <v>0</v>
      </c>
      <c r="L74" s="89">
        <f>IFERROR(VLOOKUP($B74,'OMF by Acct'!$A:$T,11,0),0)</f>
        <v>0</v>
      </c>
      <c r="M74" s="90">
        <f>IFERROR(VLOOKUP($B74,'OMF by Acct'!$A:$T,12,0),0)</f>
        <v>0</v>
      </c>
      <c r="N74" s="89">
        <v>0</v>
      </c>
      <c r="O74" s="89">
        <f>IFERROR(VLOOKUP($B74,'OMF by Acct'!$A:$T,14,0),0)</f>
        <v>0</v>
      </c>
      <c r="P74" s="90">
        <v>27436500</v>
      </c>
      <c r="Q74" s="89">
        <v>0</v>
      </c>
      <c r="R74" s="88">
        <f>IFERROR(VLOOKUP($B74,'OMF by Acct'!$A:$T,17,0),0)</f>
        <v>0</v>
      </c>
      <c r="S74" s="88">
        <v>0</v>
      </c>
      <c r="T74" s="88">
        <v>0</v>
      </c>
      <c r="U74" s="91">
        <f t="shared" si="0"/>
        <v>27436500</v>
      </c>
      <c r="V74" s="88">
        <v>19396500</v>
      </c>
      <c r="W74" s="92">
        <f t="shared" si="1"/>
        <v>8040000</v>
      </c>
      <c r="X74" s="86">
        <f t="shared" si="2"/>
        <v>0.41450777202072536</v>
      </c>
      <c r="Y74" s="86"/>
      <c r="Z74" s="66"/>
      <c r="AA74" s="65"/>
    </row>
    <row r="75" spans="1:27" ht="12" customHeight="1" x14ac:dyDescent="0.25">
      <c r="A75" s="65">
        <v>531651</v>
      </c>
      <c r="B75" s="79">
        <v>531651</v>
      </c>
      <c r="C75" s="80" t="s">
        <v>62</v>
      </c>
      <c r="D75" s="88">
        <v>0</v>
      </c>
      <c r="E75" s="88">
        <f>IFERROR(VLOOKUP($B75,'OMF by Acct'!$A:$T,4,0),0)</f>
        <v>0</v>
      </c>
      <c r="F75" s="88">
        <f>IFERROR(VLOOKUP($B75,'OMF by Acct'!$A:$T,5,0),0)</f>
        <v>0</v>
      </c>
      <c r="G75" s="88">
        <f>IFERROR(VLOOKUP($B75,'OMF by Acct'!$A:$T,6,0),0)</f>
        <v>0</v>
      </c>
      <c r="H75" s="88">
        <f>IFERROR(VLOOKUP($B75,'OMF by Acct'!$A:$T,7,0),0)</f>
        <v>0</v>
      </c>
      <c r="I75" s="88">
        <f>+'OMF by Acct'!H51</f>
        <v>121495</v>
      </c>
      <c r="J75" s="88">
        <f>IFERROR(VLOOKUP($B75,'OMF by Acct'!$A:$T,9,0),0)</f>
        <v>0</v>
      </c>
      <c r="K75" s="89">
        <f>IFERROR(VLOOKUP($B75,'OMF by Acct'!$A:$T,10,0),0)</f>
        <v>0</v>
      </c>
      <c r="L75" s="89">
        <f>IFERROR(VLOOKUP($B75,'OMF by Acct'!$A:$T,11,0),0)</f>
        <v>0</v>
      </c>
      <c r="M75" s="90">
        <f>IFERROR(VLOOKUP($B75,'OMF by Acct'!$A:$T,12,0),0)</f>
        <v>0</v>
      </c>
      <c r="N75" s="89">
        <v>0</v>
      </c>
      <c r="O75" s="89">
        <f>IFERROR(VLOOKUP($B75,'OMF by Acct'!$A:$T,14,0),0)</f>
        <v>0</v>
      </c>
      <c r="P75" s="90">
        <f>34412500+12884700</f>
        <v>47297200</v>
      </c>
      <c r="Q75" s="89">
        <v>54136</v>
      </c>
      <c r="R75" s="88">
        <f>IFERROR(VLOOKUP($B75,'OMF by Acct'!$A:$T,17,0),0)</f>
        <v>0</v>
      </c>
      <c r="S75" s="88">
        <v>0</v>
      </c>
      <c r="T75" s="88">
        <v>0</v>
      </c>
      <c r="U75" s="91">
        <f t="shared" si="0"/>
        <v>47472831</v>
      </c>
      <c r="V75" s="88">
        <v>40679813</v>
      </c>
      <c r="W75" s="92">
        <f t="shared" si="1"/>
        <v>6793018</v>
      </c>
      <c r="X75" s="86">
        <f t="shared" si="2"/>
        <v>0.16698744411632374</v>
      </c>
      <c r="Y75" s="86"/>
      <c r="Z75" s="66"/>
      <c r="AA75" s="65"/>
    </row>
    <row r="76" spans="1:27" ht="12" customHeight="1" x14ac:dyDescent="0.25">
      <c r="A76" s="65">
        <v>531701</v>
      </c>
      <c r="B76" s="79">
        <v>531701</v>
      </c>
      <c r="C76" s="80" t="s">
        <v>56</v>
      </c>
      <c r="D76" s="88">
        <v>0</v>
      </c>
      <c r="E76" s="88">
        <f>IFERROR(VLOOKUP($B76,'OMF by Acct'!$A:$T,4,0),0)</f>
        <v>0</v>
      </c>
      <c r="F76" s="88">
        <f>IFERROR(VLOOKUP($B76,'OMF by Acct'!$A:$T,5,0),0)</f>
        <v>0</v>
      </c>
      <c r="G76" s="88">
        <f>IFERROR(VLOOKUP($B76,'OMF by Acct'!$A:$T,6,0),0)</f>
        <v>0</v>
      </c>
      <c r="H76" s="88">
        <f>IFERROR(VLOOKUP($B76,'OMF by Acct'!$A:$T,7,0),0)</f>
        <v>0</v>
      </c>
      <c r="I76" s="88">
        <v>0</v>
      </c>
      <c r="J76" s="88">
        <f>IFERROR(VLOOKUP($B76,'OMF by Acct'!$A:$T,9,0),0)</f>
        <v>0</v>
      </c>
      <c r="K76" s="89">
        <f>IFERROR(VLOOKUP($B76,'OMF by Acct'!$A:$T,10,0),0)</f>
        <v>0</v>
      </c>
      <c r="L76" s="89">
        <f>IFERROR(VLOOKUP($B76,'OMF by Acct'!$A:$T,11,0),0)</f>
        <v>0</v>
      </c>
      <c r="M76" s="90">
        <f>IFERROR(VLOOKUP($B76,'OMF by Acct'!$A:$T,12,0),0)</f>
        <v>0</v>
      </c>
      <c r="N76" s="89">
        <v>0</v>
      </c>
      <c r="O76" s="89">
        <f>IFERROR(VLOOKUP($B76,'OMF by Acct'!$A:$T,14,0),0)</f>
        <v>43742</v>
      </c>
      <c r="P76" s="90">
        <v>0</v>
      </c>
      <c r="Q76" s="89">
        <v>296000</v>
      </c>
      <c r="R76" s="88">
        <f>IFERROR(VLOOKUP($B76,'OMF by Acct'!$A:$T,17,0),0)</f>
        <v>0</v>
      </c>
      <c r="S76" s="88">
        <v>0</v>
      </c>
      <c r="T76" s="88">
        <v>114716</v>
      </c>
      <c r="U76" s="91">
        <f t="shared" ref="U76:U89" si="3">SUM(D76:T76)</f>
        <v>454458</v>
      </c>
      <c r="V76" s="88">
        <v>382447</v>
      </c>
      <c r="W76" s="92">
        <f t="shared" ref="W76:W108" si="4">U76-V76</f>
        <v>72011</v>
      </c>
      <c r="X76" s="86">
        <f t="shared" ref="X76:X108" si="5">IF(V76=0,100%,W76/V76)</f>
        <v>0.18829014216348933</v>
      </c>
      <c r="Y76" s="86"/>
      <c r="Z76" s="66"/>
      <c r="AA76" s="65"/>
    </row>
    <row r="77" spans="1:27" ht="12" customHeight="1" x14ac:dyDescent="0.25">
      <c r="B77" s="79">
        <v>541301</v>
      </c>
      <c r="C77" s="80" t="s">
        <v>104</v>
      </c>
      <c r="D77" s="88">
        <v>0</v>
      </c>
      <c r="E77" s="88">
        <f>IFERROR(VLOOKUP($B77,'OMF by Acct'!$A:$T,4,0),0)</f>
        <v>0</v>
      </c>
      <c r="F77" s="88">
        <f>IFERROR(VLOOKUP($B77,'OMF by Acct'!$A:$T,5,0),0)</f>
        <v>0</v>
      </c>
      <c r="G77" s="88">
        <f>IFERROR(VLOOKUP($B77,'OMF by Acct'!$A:$T,6,0),0)</f>
        <v>0</v>
      </c>
      <c r="H77" s="88">
        <f>IFERROR(VLOOKUP($B77,'OMF by Acct'!$A:$T,7,0),0)</f>
        <v>0</v>
      </c>
      <c r="I77" s="88">
        <v>0</v>
      </c>
      <c r="J77" s="88">
        <f>IFERROR(VLOOKUP($B77,'OMF by Acct'!$A:$T,9,0),0)</f>
        <v>0</v>
      </c>
      <c r="K77" s="89">
        <f>IFERROR(VLOOKUP($B77,'OMF by Acct'!$A:$T,10,0),0)</f>
        <v>0</v>
      </c>
      <c r="L77" s="89">
        <f>IFERROR(VLOOKUP($B77,'OMF by Acct'!$A:$T,11,0),0)</f>
        <v>0</v>
      </c>
      <c r="M77" s="90">
        <f>IFERROR(VLOOKUP($B77,'OMF by Acct'!$A:$T,12,0),0)</f>
        <v>0</v>
      </c>
      <c r="N77" s="89">
        <v>0</v>
      </c>
      <c r="O77" s="89">
        <f>IFERROR(VLOOKUP($B77,'OMF by Acct'!$A:$T,14,0),0)</f>
        <v>0</v>
      </c>
      <c r="P77" s="90">
        <v>0</v>
      </c>
      <c r="Q77" s="89">
        <v>0</v>
      </c>
      <c r="R77" s="88">
        <f>IFERROR(VLOOKUP($B77,'OMF by Acct'!$A:$T,17,0),0)</f>
        <v>0</v>
      </c>
      <c r="S77" s="88">
        <v>0</v>
      </c>
      <c r="T77" s="88">
        <v>0</v>
      </c>
      <c r="U77" s="91">
        <f t="shared" si="3"/>
        <v>0</v>
      </c>
      <c r="V77" s="88">
        <v>0</v>
      </c>
      <c r="W77" s="98">
        <v>0</v>
      </c>
      <c r="X77" s="98">
        <v>0</v>
      </c>
      <c r="Y77" s="86"/>
      <c r="Z77" s="66"/>
      <c r="AA77" s="65"/>
    </row>
    <row r="78" spans="1:27" ht="12" customHeight="1" x14ac:dyDescent="0.25">
      <c r="A78" s="65">
        <v>541302</v>
      </c>
      <c r="B78" s="79">
        <v>541302</v>
      </c>
      <c r="C78" s="80" t="s">
        <v>105</v>
      </c>
      <c r="D78" s="88">
        <v>0</v>
      </c>
      <c r="E78" s="88">
        <f>IFERROR(VLOOKUP($B78,'OMF by Acct'!$A:$T,4,0),0)</f>
        <v>0</v>
      </c>
      <c r="F78" s="88">
        <f>IFERROR(VLOOKUP($B78,'OMF by Acct'!$A:$T,5,0),0)</f>
        <v>0</v>
      </c>
      <c r="G78" s="88">
        <f>IFERROR(VLOOKUP($B78,'OMF by Acct'!$A:$T,6,0),0)</f>
        <v>0</v>
      </c>
      <c r="H78" s="88">
        <f>IFERROR(VLOOKUP($B78,'OMF by Acct'!$A:$T,7,0),0)</f>
        <v>0</v>
      </c>
      <c r="I78" s="88">
        <v>0</v>
      </c>
      <c r="J78" s="88">
        <f>IFERROR(VLOOKUP($B78,'OMF by Acct'!$A:$T,9,0),0)</f>
        <v>0</v>
      </c>
      <c r="K78" s="89">
        <f>IFERROR(VLOOKUP($B78,'OMF by Acct'!$A:$T,10,0),0)</f>
        <v>0</v>
      </c>
      <c r="L78" s="89">
        <f>IFERROR(VLOOKUP($B78,'OMF by Acct'!$A:$T,11,0),0)</f>
        <v>0</v>
      </c>
      <c r="M78" s="90">
        <f>IFERROR(VLOOKUP($B78,'OMF by Acct'!$A:$T,12,0),0)</f>
        <v>0</v>
      </c>
      <c r="N78" s="89">
        <v>0</v>
      </c>
      <c r="O78" s="89">
        <f>IFERROR(VLOOKUP($B78,'OMF by Acct'!$A:$T,14,0),0)</f>
        <v>0</v>
      </c>
      <c r="P78" s="90">
        <v>0</v>
      </c>
      <c r="Q78" s="89">
        <v>10547000</v>
      </c>
      <c r="R78" s="88">
        <f>IFERROR(VLOOKUP($B78,'OMF by Acct'!$A:$T,17,0),0)</f>
        <v>0</v>
      </c>
      <c r="S78" s="88">
        <v>0</v>
      </c>
      <c r="T78" s="88">
        <v>0</v>
      </c>
      <c r="U78" s="91">
        <f t="shared" si="3"/>
        <v>10547000</v>
      </c>
      <c r="V78" s="88">
        <v>11446144</v>
      </c>
      <c r="W78" s="92">
        <f t="shared" ref="W78:W89" si="6">U78-V78</f>
        <v>-899144</v>
      </c>
      <c r="X78" s="86">
        <f t="shared" ref="X78:X83" si="7">IF(V78=0,100%,W78/V78)</f>
        <v>-7.8554314885432158E-2</v>
      </c>
      <c r="Y78" s="86"/>
      <c r="Z78" s="66"/>
      <c r="AA78" s="65"/>
    </row>
    <row r="79" spans="1:27" ht="12" customHeight="1" x14ac:dyDescent="0.25">
      <c r="A79" s="65">
        <v>541401</v>
      </c>
      <c r="B79" s="79">
        <v>541401</v>
      </c>
      <c r="C79" s="80" t="s">
        <v>106</v>
      </c>
      <c r="D79" s="88">
        <v>0</v>
      </c>
      <c r="E79" s="88">
        <f>IFERROR(VLOOKUP($B79,'OMF by Acct'!$A:$T,4,0),0)</f>
        <v>0</v>
      </c>
      <c r="F79" s="88">
        <f>IFERROR(VLOOKUP($B79,'OMF by Acct'!$A:$T,5,0),0)</f>
        <v>0</v>
      </c>
      <c r="G79" s="88">
        <f>IFERROR(VLOOKUP($B79,'OMF by Acct'!$A:$T,6,0),0)</f>
        <v>0</v>
      </c>
      <c r="H79" s="88">
        <f>IFERROR(VLOOKUP($B79,'OMF by Acct'!$A:$T,7,0),0)</f>
        <v>0</v>
      </c>
      <c r="I79" s="88">
        <v>0</v>
      </c>
      <c r="J79" s="88">
        <f>IFERROR(VLOOKUP($B79,'OMF by Acct'!$A:$T,9,0),0)</f>
        <v>0</v>
      </c>
      <c r="K79" s="89">
        <f>IFERROR(VLOOKUP($B79,'OMF by Acct'!$A:$T,10,0),0)</f>
        <v>0</v>
      </c>
      <c r="L79" s="89">
        <f>IFERROR(VLOOKUP($B79,'OMF by Acct'!$A:$T,11,0),0)</f>
        <v>0</v>
      </c>
      <c r="M79" s="90">
        <f>IFERROR(VLOOKUP($B79,'OMF by Acct'!$A:$T,12,0),0)</f>
        <v>0</v>
      </c>
      <c r="N79" s="89">
        <v>0</v>
      </c>
      <c r="O79" s="89">
        <f>IFERROR(VLOOKUP($B79,'OMF by Acct'!$A:$T,14,0),0)</f>
        <v>0</v>
      </c>
      <c r="P79" s="90">
        <v>4500000</v>
      </c>
      <c r="Q79" s="89">
        <v>0</v>
      </c>
      <c r="R79" s="88">
        <f>IFERROR(VLOOKUP($B79,'OMF by Acct'!$A:$T,17,0),0)</f>
        <v>0</v>
      </c>
      <c r="S79" s="88">
        <v>228282062</v>
      </c>
      <c r="T79" s="88">
        <v>17475000</v>
      </c>
      <c r="U79" s="91">
        <f t="shared" si="3"/>
        <v>250257062</v>
      </c>
      <c r="V79" s="88">
        <v>210697523</v>
      </c>
      <c r="W79" s="92">
        <f t="shared" si="6"/>
        <v>39559539</v>
      </c>
      <c r="X79" s="86">
        <f t="shared" si="7"/>
        <v>0.18775512135470146</v>
      </c>
      <c r="Y79" s="86"/>
      <c r="Z79" s="66"/>
      <c r="AA79" s="65"/>
    </row>
    <row r="80" spans="1:27" ht="12" customHeight="1" x14ac:dyDescent="0.25">
      <c r="B80" s="79">
        <v>541402</v>
      </c>
      <c r="C80" s="80" t="s">
        <v>107</v>
      </c>
      <c r="D80" s="88">
        <v>0</v>
      </c>
      <c r="E80" s="88">
        <f>IFERROR(VLOOKUP($B80,'OMF by Acct'!$A:$T,4,0),0)</f>
        <v>0</v>
      </c>
      <c r="F80" s="88">
        <f>IFERROR(VLOOKUP($B80,'OMF by Acct'!$A:$T,5,0),0)</f>
        <v>0</v>
      </c>
      <c r="G80" s="88">
        <f>IFERROR(VLOOKUP($B80,'OMF by Acct'!$A:$T,6,0),0)</f>
        <v>0</v>
      </c>
      <c r="H80" s="88">
        <f>IFERROR(VLOOKUP($B80,'OMF by Acct'!$A:$T,7,0),0)</f>
        <v>0</v>
      </c>
      <c r="I80" s="88">
        <v>0</v>
      </c>
      <c r="J80" s="88">
        <f>IFERROR(VLOOKUP($B80,'OMF by Acct'!$A:$T,9,0),0)</f>
        <v>0</v>
      </c>
      <c r="K80" s="89">
        <f>IFERROR(VLOOKUP($B80,'OMF by Acct'!$A:$T,10,0),0)</f>
        <v>0</v>
      </c>
      <c r="L80" s="89">
        <f>IFERROR(VLOOKUP($B80,'OMF by Acct'!$A:$T,11,0),0)</f>
        <v>0</v>
      </c>
      <c r="M80" s="90">
        <f>IFERROR(VLOOKUP($B80,'OMF by Acct'!$A:$T,12,0),0)</f>
        <v>0</v>
      </c>
      <c r="N80" s="89">
        <v>0</v>
      </c>
      <c r="O80" s="89">
        <f>IFERROR(VLOOKUP($B80,'OMF by Acct'!$A:$T,14,0),0)</f>
        <v>0</v>
      </c>
      <c r="P80" s="90">
        <v>0</v>
      </c>
      <c r="Q80" s="89">
        <v>0</v>
      </c>
      <c r="R80" s="88">
        <f>IFERROR(VLOOKUP($B80,'OMF by Acct'!$A:$T,17,0),0)</f>
        <v>0</v>
      </c>
      <c r="S80" s="88">
        <v>392783</v>
      </c>
      <c r="T80" s="88">
        <v>0</v>
      </c>
      <c r="U80" s="91">
        <f t="shared" si="3"/>
        <v>392783</v>
      </c>
      <c r="V80" s="88">
        <v>398163</v>
      </c>
      <c r="W80" s="92">
        <f t="shared" si="6"/>
        <v>-5380</v>
      </c>
      <c r="X80" s="86">
        <f t="shared" si="7"/>
        <v>-1.3512054108493255E-2</v>
      </c>
      <c r="Y80" s="86"/>
      <c r="Z80" s="66"/>
      <c r="AA80" s="65"/>
    </row>
    <row r="81" spans="1:27" ht="12" customHeight="1" x14ac:dyDescent="0.25">
      <c r="A81" s="65">
        <v>541403</v>
      </c>
      <c r="B81" s="79">
        <v>541403</v>
      </c>
      <c r="C81" s="80" t="s">
        <v>108</v>
      </c>
      <c r="D81" s="88">
        <v>0</v>
      </c>
      <c r="E81" s="88">
        <f>IFERROR(VLOOKUP($B81,'OMF by Acct'!$A:$T,4,0),0)</f>
        <v>0</v>
      </c>
      <c r="F81" s="88">
        <f>IFERROR(VLOOKUP($B81,'OMF by Acct'!$A:$T,5,0),0)</f>
        <v>0</v>
      </c>
      <c r="G81" s="88">
        <f>IFERROR(VLOOKUP($B81,'OMF by Acct'!$A:$T,6,0),0)</f>
        <v>0</v>
      </c>
      <c r="H81" s="88">
        <f>IFERROR(VLOOKUP($B81,'OMF by Acct'!$A:$T,7,0),0)</f>
        <v>0</v>
      </c>
      <c r="I81" s="88">
        <v>0</v>
      </c>
      <c r="J81" s="88">
        <f>IFERROR(VLOOKUP($B81,'OMF by Acct'!$A:$T,9,0),0)</f>
        <v>0</v>
      </c>
      <c r="K81" s="89">
        <f>IFERROR(VLOOKUP($B81,'OMF by Acct'!$A:$T,10,0),0)</f>
        <v>0</v>
      </c>
      <c r="L81" s="89">
        <f>IFERROR(VLOOKUP($B81,'OMF by Acct'!$A:$T,11,0),0)</f>
        <v>0</v>
      </c>
      <c r="M81" s="90">
        <f>IFERROR(VLOOKUP($B81,'OMF by Acct'!$A:$T,12,0),0)</f>
        <v>0</v>
      </c>
      <c r="N81" s="89">
        <v>0</v>
      </c>
      <c r="O81" s="89">
        <f>IFERROR(VLOOKUP($B81,'OMF by Acct'!$A:$T,14,0),0)</f>
        <v>0</v>
      </c>
      <c r="P81" s="90">
        <v>175000</v>
      </c>
      <c r="Q81" s="89">
        <v>0</v>
      </c>
      <c r="R81" s="88">
        <f>IFERROR(VLOOKUP($B81,'OMF by Acct'!$A:$T,17,0),0)</f>
        <v>0</v>
      </c>
      <c r="S81" s="88">
        <v>0</v>
      </c>
      <c r="T81" s="88">
        <v>0</v>
      </c>
      <c r="U81" s="91">
        <f t="shared" si="3"/>
        <v>175000</v>
      </c>
      <c r="V81" s="88">
        <v>0</v>
      </c>
      <c r="W81" s="92">
        <f t="shared" si="6"/>
        <v>175000</v>
      </c>
      <c r="X81" s="98">
        <v>0</v>
      </c>
      <c r="Y81" s="86"/>
      <c r="Z81" s="66"/>
      <c r="AA81" s="65"/>
    </row>
    <row r="82" spans="1:27" ht="12" customHeight="1" x14ac:dyDescent="0.25">
      <c r="A82" s="65">
        <v>573001</v>
      </c>
      <c r="B82" s="79">
        <v>573001</v>
      </c>
      <c r="C82" s="80" t="s">
        <v>82</v>
      </c>
      <c r="D82" s="88">
        <v>0</v>
      </c>
      <c r="E82" s="88">
        <f>IFERROR(VLOOKUP($B82,'OMF by Acct'!$A:$T,4,0),0)</f>
        <v>0</v>
      </c>
      <c r="F82" s="88">
        <f>IFERROR(VLOOKUP($B82,'OMF by Acct'!$A:$T,5,0),0)</f>
        <v>0</v>
      </c>
      <c r="G82" s="88">
        <f>IFERROR(VLOOKUP($B82,'OMF by Acct'!$A:$T,6,0),0)</f>
        <v>0</v>
      </c>
      <c r="H82" s="88">
        <f>IFERROR(VLOOKUP($B82,'OMF by Acct'!$A:$T,7,0),0)</f>
        <v>0</v>
      </c>
      <c r="I82" s="88">
        <v>0</v>
      </c>
      <c r="J82" s="88">
        <f>IFERROR(VLOOKUP($B82,'OMF by Acct'!$A:$T,9,0),0)</f>
        <v>0</v>
      </c>
      <c r="K82" s="89">
        <f>IFERROR(VLOOKUP($B82,'OMF by Acct'!$A:$T,10,0),0)</f>
        <v>0</v>
      </c>
      <c r="L82" s="89">
        <f>IFERROR(VLOOKUP($B82,'OMF by Acct'!$A:$T,11,0),0)</f>
        <v>0</v>
      </c>
      <c r="M82" s="90">
        <f>IFERROR(VLOOKUP($B82,'OMF by Acct'!$A:$T,12,0),0)</f>
        <v>0</v>
      </c>
      <c r="N82" s="89">
        <f>+'OMF by Acct'!M72</f>
        <v>17000</v>
      </c>
      <c r="O82" s="89">
        <f>IFERROR(VLOOKUP($B82,'OMF by Acct'!$A:$T,14,0),0)</f>
        <v>400000</v>
      </c>
      <c r="P82" s="90">
        <v>0</v>
      </c>
      <c r="Q82" s="89">
        <v>0</v>
      </c>
      <c r="R82" s="88">
        <f>IFERROR(VLOOKUP($B82,'OMF by Acct'!$A:$T,17,0),0)</f>
        <v>0</v>
      </c>
      <c r="S82" s="88">
        <v>0</v>
      </c>
      <c r="T82" s="88">
        <v>0</v>
      </c>
      <c r="U82" s="91">
        <f t="shared" si="3"/>
        <v>417000</v>
      </c>
      <c r="V82" s="88">
        <v>415000</v>
      </c>
      <c r="W82" s="98">
        <v>0</v>
      </c>
      <c r="X82" s="98">
        <v>0</v>
      </c>
      <c r="Y82" s="86"/>
      <c r="Z82" s="66"/>
      <c r="AA82" s="65"/>
    </row>
    <row r="83" spans="1:27" ht="12" customHeight="1" x14ac:dyDescent="0.25">
      <c r="A83" s="65">
        <v>573002</v>
      </c>
      <c r="B83" s="79">
        <v>573002</v>
      </c>
      <c r="C83" s="80" t="s">
        <v>63</v>
      </c>
      <c r="D83" s="88">
        <v>0</v>
      </c>
      <c r="E83" s="88">
        <f>IFERROR(VLOOKUP($B83,'OMF by Acct'!$A:$T,4,0),0)</f>
        <v>0</v>
      </c>
      <c r="F83" s="88">
        <f>IFERROR(VLOOKUP($B83,'OMF by Acct'!$A:$T,5,0),0)</f>
        <v>0</v>
      </c>
      <c r="G83" s="88">
        <f>IFERROR(VLOOKUP($B83,'OMF by Acct'!$A:$T,6,0),0)</f>
        <v>0</v>
      </c>
      <c r="H83" s="88">
        <f>IFERROR(VLOOKUP($B83,'OMF by Acct'!$A:$T,7,0),0)</f>
        <v>0</v>
      </c>
      <c r="I83" s="88">
        <v>0</v>
      </c>
      <c r="J83" s="88">
        <f>IFERROR(VLOOKUP($B83,'OMF by Acct'!$A:$T,9,0),0)</f>
        <v>0</v>
      </c>
      <c r="K83" s="89">
        <f>IFERROR(VLOOKUP($B83,'OMF by Acct'!$A:$T,10,0),0)</f>
        <v>0</v>
      </c>
      <c r="L83" s="89">
        <f>IFERROR(VLOOKUP($B83,'OMF by Acct'!$A:$T,11,0),0)</f>
        <v>0</v>
      </c>
      <c r="M83" s="90">
        <f>IFERROR(VLOOKUP($B83,'OMF by Acct'!$A:$T,12,0),0)</f>
        <v>0</v>
      </c>
      <c r="N83" s="89">
        <v>0</v>
      </c>
      <c r="O83" s="89">
        <f>IFERROR(VLOOKUP($B83,'OMF by Acct'!$A:$T,14,0),0)</f>
        <v>41500000</v>
      </c>
      <c r="P83" s="89">
        <v>0</v>
      </c>
      <c r="Q83" s="89">
        <v>0</v>
      </c>
      <c r="R83" s="88">
        <f>IFERROR(VLOOKUP($B83,'OMF by Acct'!$A:$T,17,0),0)</f>
        <v>0</v>
      </c>
      <c r="S83" s="88">
        <v>0</v>
      </c>
      <c r="T83" s="88">
        <v>0</v>
      </c>
      <c r="U83" s="91">
        <f t="shared" si="3"/>
        <v>41500000</v>
      </c>
      <c r="V83" s="88">
        <v>38250000</v>
      </c>
      <c r="W83" s="92">
        <f t="shared" si="6"/>
        <v>3250000</v>
      </c>
      <c r="X83" s="86">
        <f t="shared" si="7"/>
        <v>8.4967320261437912E-2</v>
      </c>
      <c r="Y83" s="86"/>
      <c r="Z83" s="66"/>
      <c r="AA83" s="65"/>
    </row>
    <row r="84" spans="1:27" ht="12" customHeight="1" x14ac:dyDescent="0.25">
      <c r="A84" s="65">
        <v>173003</v>
      </c>
      <c r="B84" s="79">
        <v>173003</v>
      </c>
      <c r="C84" s="80" t="s">
        <v>109</v>
      </c>
      <c r="D84" s="88">
        <v>0</v>
      </c>
      <c r="E84" s="88">
        <f>IFERROR(VLOOKUP($B84,'OMF by Acct'!$A:$T,4,0),0)</f>
        <v>0</v>
      </c>
      <c r="F84" s="88">
        <f>IFERROR(VLOOKUP($B84,'OMF by Acct'!$A:$T,5,0),0)</f>
        <v>0</v>
      </c>
      <c r="G84" s="88">
        <f>IFERROR(VLOOKUP($B84,'OMF by Acct'!$A:$T,6,0),0)</f>
        <v>0</v>
      </c>
      <c r="H84" s="88">
        <f>IFERROR(VLOOKUP($B84,'OMF by Acct'!$A:$T,7,0),0)</f>
        <v>0</v>
      </c>
      <c r="I84" s="88">
        <v>0</v>
      </c>
      <c r="J84" s="88">
        <f>IFERROR(VLOOKUP($B84,'OMF by Acct'!$A:$T,9,0),0)</f>
        <v>0</v>
      </c>
      <c r="K84" s="89">
        <f>IFERROR(VLOOKUP($B84,'OMF by Acct'!$A:$T,10,0),0)</f>
        <v>0</v>
      </c>
      <c r="L84" s="89">
        <f>IFERROR(VLOOKUP($B84,'OMF by Acct'!$A:$T,11,0),0)</f>
        <v>0</v>
      </c>
      <c r="M84" s="90">
        <f>IFERROR(VLOOKUP($B84,'OMF by Acct'!$A:$T,12,0),0)</f>
        <v>0</v>
      </c>
      <c r="N84" s="89">
        <v>0</v>
      </c>
      <c r="O84" s="89">
        <f>IFERROR(VLOOKUP($B84,'OMF by Acct'!$A:$T,14,0),0)</f>
        <v>0</v>
      </c>
      <c r="P84" s="89">
        <v>0</v>
      </c>
      <c r="Q84" s="89">
        <v>0</v>
      </c>
      <c r="R84" s="88">
        <f>IFERROR(VLOOKUP($B84,'OMF by Acct'!$A:$T,17,0),0)</f>
        <v>0</v>
      </c>
      <c r="S84" s="88">
        <v>30000</v>
      </c>
      <c r="T84" s="88">
        <v>0</v>
      </c>
      <c r="U84" s="91">
        <f t="shared" si="3"/>
        <v>30000</v>
      </c>
      <c r="V84" s="88">
        <v>30000</v>
      </c>
      <c r="W84" s="98">
        <v>0</v>
      </c>
      <c r="X84" s="98">
        <v>0</v>
      </c>
      <c r="Y84" s="86"/>
      <c r="Z84" s="66"/>
      <c r="AA84" s="65"/>
    </row>
    <row r="85" spans="1:27" ht="18" hidden="1" customHeight="1" x14ac:dyDescent="0.25">
      <c r="A85" s="65">
        <v>173005</v>
      </c>
      <c r="B85" s="79">
        <v>173005</v>
      </c>
      <c r="C85" s="80" t="s">
        <v>110</v>
      </c>
      <c r="D85" s="88">
        <v>0</v>
      </c>
      <c r="E85" s="88" t="s">
        <v>111</v>
      </c>
      <c r="F85" s="88" t="s">
        <v>111</v>
      </c>
      <c r="G85" s="88" t="s">
        <v>111</v>
      </c>
      <c r="H85" s="88" t="s">
        <v>111</v>
      </c>
      <c r="I85" s="88">
        <v>0</v>
      </c>
      <c r="J85" s="88">
        <f>IFERROR(VLOOKUP($B85,'OMF by Acct'!$A:$T,9,0),0)</f>
        <v>0</v>
      </c>
      <c r="K85" s="89">
        <f>IFERROR(VLOOKUP($B85,'OMF by Acct'!$A:$T,10,0),0)</f>
        <v>0</v>
      </c>
      <c r="L85" s="89">
        <f>IFERROR(VLOOKUP($B85,'OMF by Acct'!$A:$T,11,0),0)</f>
        <v>0</v>
      </c>
      <c r="M85" s="90">
        <f>IFERROR(VLOOKUP($B85,'OMF by Acct'!$A:$T,12,0),0)</f>
        <v>0</v>
      </c>
      <c r="N85" s="89">
        <v>0</v>
      </c>
      <c r="O85" s="89">
        <f>IFERROR(VLOOKUP($B85,'OMF by Acct'!$A:$T,14,0),0)</f>
        <v>0</v>
      </c>
      <c r="P85" s="89">
        <v>0</v>
      </c>
      <c r="Q85" s="89">
        <f>IFERROR(VLOOKUP($B85,'OMF by Acct'!$A:$T,16,0),0)</f>
        <v>0</v>
      </c>
      <c r="R85" s="88">
        <f>IFERROR(VLOOKUP($B85,'OMF by Acct'!$A:$T,17,0),0)</f>
        <v>0</v>
      </c>
      <c r="S85" s="88">
        <f>IFERROR(VLOOKUP($B85,'OMF by Acct'!$A:$T,18,0),0)</f>
        <v>0</v>
      </c>
      <c r="T85" s="88">
        <f>IFERROR(VLOOKUP($B85,'OMF by Acct'!$A:$T,19,0),0)</f>
        <v>0</v>
      </c>
      <c r="U85" s="91">
        <f t="shared" si="3"/>
        <v>0</v>
      </c>
      <c r="V85" s="88">
        <v>0</v>
      </c>
      <c r="W85" s="92">
        <f t="shared" si="6"/>
        <v>0</v>
      </c>
      <c r="X85" s="86">
        <v>0</v>
      </c>
      <c r="Y85" s="86"/>
      <c r="Z85" s="66"/>
      <c r="AA85" s="65"/>
    </row>
    <row r="86" spans="1:27" ht="9.75" hidden="1" customHeight="1" x14ac:dyDescent="0.25">
      <c r="A86" s="65">
        <v>173005</v>
      </c>
      <c r="B86" s="79">
        <v>173005</v>
      </c>
      <c r="C86" s="80" t="s">
        <v>112</v>
      </c>
      <c r="D86" s="88">
        <v>0</v>
      </c>
      <c r="E86" s="88" t="s">
        <v>111</v>
      </c>
      <c r="F86" s="88" t="s">
        <v>111</v>
      </c>
      <c r="G86" s="88" t="s">
        <v>111</v>
      </c>
      <c r="H86" s="88" t="s">
        <v>111</v>
      </c>
      <c r="I86" s="88">
        <v>0</v>
      </c>
      <c r="J86" s="88">
        <f>IFERROR(VLOOKUP($B86,'OMF by Acct'!$A:$T,9,0),0)</f>
        <v>0</v>
      </c>
      <c r="K86" s="89">
        <f>IFERROR(VLOOKUP($B86,'OMF by Acct'!$A:$T,10,0),0)</f>
        <v>0</v>
      </c>
      <c r="L86" s="89">
        <f>IFERROR(VLOOKUP($B86,'OMF by Acct'!$A:$T,11,0),0)</f>
        <v>0</v>
      </c>
      <c r="M86" s="90">
        <f>IFERROR(VLOOKUP($B86,'OMF by Acct'!$A:$T,12,0),0)</f>
        <v>0</v>
      </c>
      <c r="N86" s="89">
        <v>0</v>
      </c>
      <c r="O86" s="89">
        <f>IFERROR(VLOOKUP($B86,'OMF by Acct'!$A:$T,14,0),0)</f>
        <v>0</v>
      </c>
      <c r="P86" s="89">
        <v>0</v>
      </c>
      <c r="Q86" s="89">
        <f>IFERROR(VLOOKUP($B86,'OMF by Acct'!$A:$T,16,0),0)</f>
        <v>0</v>
      </c>
      <c r="R86" s="88">
        <f>IFERROR(VLOOKUP($B86,'OMF by Acct'!$A:$T,17,0),0)</f>
        <v>0</v>
      </c>
      <c r="S86" s="88">
        <f>IFERROR(VLOOKUP($B86,'OMF by Acct'!$A:$T,18,0),0)</f>
        <v>0</v>
      </c>
      <c r="T86" s="88">
        <f>IFERROR(VLOOKUP($B86,'OMF by Acct'!$A:$T,19,0),0)</f>
        <v>0</v>
      </c>
      <c r="U86" s="91">
        <f t="shared" si="3"/>
        <v>0</v>
      </c>
      <c r="V86" s="88">
        <v>0</v>
      </c>
      <c r="W86" s="92">
        <f t="shared" si="6"/>
        <v>0</v>
      </c>
      <c r="X86" s="86">
        <v>0</v>
      </c>
      <c r="Y86" s="86"/>
      <c r="Z86" s="66"/>
      <c r="AA86" s="65"/>
    </row>
    <row r="87" spans="1:27" ht="21" hidden="1" customHeight="1" x14ac:dyDescent="0.25">
      <c r="A87" s="65">
        <v>173005</v>
      </c>
      <c r="B87" s="79">
        <v>173005</v>
      </c>
      <c r="C87" s="80" t="s">
        <v>113</v>
      </c>
      <c r="D87" s="88">
        <v>0</v>
      </c>
      <c r="E87" s="88" t="s">
        <v>111</v>
      </c>
      <c r="F87" s="88" t="s">
        <v>111</v>
      </c>
      <c r="G87" s="88" t="s">
        <v>111</v>
      </c>
      <c r="H87" s="88" t="s">
        <v>111</v>
      </c>
      <c r="I87" s="88">
        <v>0</v>
      </c>
      <c r="J87" s="88">
        <f>IFERROR(VLOOKUP($B87,'OMF by Acct'!$A:$T,9,0),0)</f>
        <v>0</v>
      </c>
      <c r="K87" s="89">
        <f>IFERROR(VLOOKUP($B87,'OMF by Acct'!$A:$T,10,0),0)</f>
        <v>0</v>
      </c>
      <c r="L87" s="89">
        <f>IFERROR(VLOOKUP($B87,'OMF by Acct'!$A:$T,11,0),0)</f>
        <v>0</v>
      </c>
      <c r="M87" s="90">
        <f>IFERROR(VLOOKUP($B87,'OMF by Acct'!$A:$T,12,0),0)</f>
        <v>0</v>
      </c>
      <c r="N87" s="89">
        <v>0</v>
      </c>
      <c r="O87" s="89">
        <f>IFERROR(VLOOKUP($B87,'OMF by Acct'!$A:$T,14,0),0)</f>
        <v>0</v>
      </c>
      <c r="P87" s="89">
        <v>0</v>
      </c>
      <c r="Q87" s="89">
        <f>IFERROR(VLOOKUP($B87,'OMF by Acct'!$A:$T,16,0),0)</f>
        <v>0</v>
      </c>
      <c r="R87" s="88">
        <f>IFERROR(VLOOKUP($B87,'OMF by Acct'!$A:$T,17,0),0)</f>
        <v>0</v>
      </c>
      <c r="S87" s="88">
        <f>IFERROR(VLOOKUP($B87,'OMF by Acct'!$A:$T,18,0),0)</f>
        <v>0</v>
      </c>
      <c r="T87" s="88">
        <f>IFERROR(VLOOKUP($B87,'OMF by Acct'!$A:$T,19,0),0)</f>
        <v>0</v>
      </c>
      <c r="U87" s="91">
        <f t="shared" si="3"/>
        <v>0</v>
      </c>
      <c r="V87" s="88">
        <v>0</v>
      </c>
      <c r="W87" s="92">
        <f t="shared" si="6"/>
        <v>0</v>
      </c>
      <c r="X87" s="86">
        <v>0</v>
      </c>
      <c r="Y87" s="86"/>
      <c r="Z87" s="66"/>
      <c r="AA87" s="65"/>
    </row>
    <row r="88" spans="1:27" ht="9" hidden="1" customHeight="1" x14ac:dyDescent="0.25">
      <c r="A88" s="65">
        <v>176001</v>
      </c>
      <c r="B88" s="79">
        <v>176001</v>
      </c>
      <c r="C88" s="80" t="s">
        <v>114</v>
      </c>
      <c r="D88" s="88">
        <v>0</v>
      </c>
      <c r="E88" s="88" t="s">
        <v>111</v>
      </c>
      <c r="F88" s="88" t="s">
        <v>111</v>
      </c>
      <c r="G88" s="88" t="s">
        <v>111</v>
      </c>
      <c r="H88" s="88" t="s">
        <v>111</v>
      </c>
      <c r="I88" s="88">
        <v>0</v>
      </c>
      <c r="J88" s="88">
        <f>IFERROR(VLOOKUP($B88,'OMF by Acct'!$A:$T,9,0),0)</f>
        <v>0</v>
      </c>
      <c r="K88" s="89">
        <f>IFERROR(VLOOKUP($B88,'OMF by Acct'!$A:$T,10,0),0)</f>
        <v>0</v>
      </c>
      <c r="L88" s="89">
        <f>IFERROR(VLOOKUP($B88,'OMF by Acct'!$A:$T,11,0),0)</f>
        <v>0</v>
      </c>
      <c r="M88" s="90">
        <f>IFERROR(VLOOKUP($B88,'OMF by Acct'!$A:$T,12,0),0)</f>
        <v>0</v>
      </c>
      <c r="N88" s="89">
        <v>0</v>
      </c>
      <c r="O88" s="89">
        <f>IFERROR(VLOOKUP($B88,'OMF by Acct'!$A:$T,14,0),0)</f>
        <v>0</v>
      </c>
      <c r="P88" s="89">
        <v>0</v>
      </c>
      <c r="Q88" s="89">
        <f>IFERROR(VLOOKUP($B88,'OMF by Acct'!$A:$T,16,0),0)</f>
        <v>0</v>
      </c>
      <c r="R88" s="88">
        <f>IFERROR(VLOOKUP($B88,'OMF by Acct'!$A:$T,17,0),0)</f>
        <v>0</v>
      </c>
      <c r="S88" s="88">
        <f>IFERROR(VLOOKUP($B88,'OMF by Acct'!$A:$T,18,0),0)</f>
        <v>0</v>
      </c>
      <c r="T88" s="88">
        <f>IFERROR(VLOOKUP($B88,'OMF by Acct'!$A:$T,19,0),0)</f>
        <v>0</v>
      </c>
      <c r="U88" s="91">
        <f t="shared" si="3"/>
        <v>0</v>
      </c>
      <c r="V88" s="88">
        <v>0</v>
      </c>
      <c r="W88" s="92">
        <f t="shared" si="6"/>
        <v>0</v>
      </c>
      <c r="X88" s="86">
        <v>0</v>
      </c>
      <c r="Y88" s="86"/>
      <c r="Z88" s="66"/>
      <c r="AA88" s="65"/>
    </row>
    <row r="89" spans="1:27" ht="12.75" hidden="1" customHeight="1" x14ac:dyDescent="0.25">
      <c r="A89" s="65">
        <v>176001</v>
      </c>
      <c r="B89" s="79">
        <v>176001</v>
      </c>
      <c r="C89" s="80" t="s">
        <v>115</v>
      </c>
      <c r="D89" s="88">
        <v>0</v>
      </c>
      <c r="E89" s="88" t="s">
        <v>111</v>
      </c>
      <c r="F89" s="88" t="s">
        <v>111</v>
      </c>
      <c r="G89" s="88" t="s">
        <v>111</v>
      </c>
      <c r="H89" s="88" t="s">
        <v>111</v>
      </c>
      <c r="I89" s="88">
        <v>0</v>
      </c>
      <c r="J89" s="88">
        <f>IFERROR(VLOOKUP($B89,'OMF by Acct'!$A:$T,9,0),0)</f>
        <v>0</v>
      </c>
      <c r="K89" s="89">
        <f>IFERROR(VLOOKUP($B89,'OMF by Acct'!$A:$T,10,0),0)</f>
        <v>0</v>
      </c>
      <c r="L89" s="89">
        <f>IFERROR(VLOOKUP($B89,'OMF by Acct'!$A:$T,11,0),0)</f>
        <v>0</v>
      </c>
      <c r="M89" s="90">
        <f>IFERROR(VLOOKUP($B89,'OMF by Acct'!$A:$T,12,0),0)</f>
        <v>0</v>
      </c>
      <c r="N89" s="89">
        <v>0</v>
      </c>
      <c r="O89" s="89">
        <f>IFERROR(VLOOKUP($B89,'OMF by Acct'!$A:$T,14,0),0)</f>
        <v>0</v>
      </c>
      <c r="P89" s="89">
        <v>0</v>
      </c>
      <c r="Q89" s="89">
        <f>IFERROR(VLOOKUP($B89,'OMF by Acct'!$A:$T,16,0),0)</f>
        <v>0</v>
      </c>
      <c r="R89" s="88">
        <f>IFERROR(VLOOKUP($B89,'OMF by Acct'!$A:$T,17,0),0)</f>
        <v>0</v>
      </c>
      <c r="S89" s="88">
        <f>IFERROR(VLOOKUP($B89,'OMF by Acct'!$A:$T,18,0),0)</f>
        <v>0</v>
      </c>
      <c r="T89" s="88">
        <f>IFERROR(VLOOKUP($B89,'OMF by Acct'!$A:$T,19,0),0)</f>
        <v>0</v>
      </c>
      <c r="U89" s="91">
        <f t="shared" si="3"/>
        <v>0</v>
      </c>
      <c r="V89" s="88">
        <v>0</v>
      </c>
      <c r="W89" s="92">
        <f t="shared" si="6"/>
        <v>0</v>
      </c>
      <c r="X89" s="86">
        <v>0</v>
      </c>
      <c r="Y89" s="86"/>
      <c r="Z89" s="66"/>
      <c r="AA89" s="65"/>
    </row>
    <row r="90" spans="1:27" ht="0.75" customHeight="1" x14ac:dyDescent="0.25">
      <c r="A90" s="65">
        <v>176001</v>
      </c>
      <c r="B90" s="79">
        <v>176001</v>
      </c>
      <c r="C90" s="80" t="s">
        <v>116</v>
      </c>
      <c r="D90" s="88" t="e">
        <v>#N/A</v>
      </c>
      <c r="E90" s="88" t="s">
        <v>111</v>
      </c>
      <c r="F90" s="88" t="s">
        <v>111</v>
      </c>
      <c r="G90" s="88" t="s">
        <v>111</v>
      </c>
      <c r="H90" s="88" t="s">
        <v>111</v>
      </c>
      <c r="I90" s="88">
        <v>0</v>
      </c>
      <c r="J90" s="88">
        <f>IFERROR(VLOOKUP($B90,'OMF by Acct'!$A:$T,9,0),0)</f>
        <v>0</v>
      </c>
      <c r="K90" s="89">
        <f>IFERROR(VLOOKUP($B90,'OMF by Acct'!$A:$T,10,0),0)</f>
        <v>0</v>
      </c>
      <c r="L90" s="89">
        <f>IFERROR(VLOOKUP($B90,'OMF by Acct'!$A:$T,11,0),0)</f>
        <v>0</v>
      </c>
      <c r="M90" s="90"/>
      <c r="N90" s="89" t="e">
        <v>#N/A</v>
      </c>
      <c r="O90" s="89">
        <f>IFERROR(VLOOKUP($B90,'OMF by Acct'!$A:$T,14,0),0)</f>
        <v>0</v>
      </c>
      <c r="P90" s="89">
        <v>0</v>
      </c>
      <c r="Q90" s="89">
        <f>IFERROR(VLOOKUP($B90,'OMF by Acct'!$A:$T,16,0),0)</f>
        <v>0</v>
      </c>
      <c r="R90" s="88">
        <f>IFERROR(VLOOKUP($B90,'OMF by Acct'!$A:$T,17,0),0)</f>
        <v>0</v>
      </c>
      <c r="S90" s="88">
        <f>IFERROR(VLOOKUP($B90,'OMF by Acct'!$A:$T,18,0),0)</f>
        <v>0</v>
      </c>
      <c r="T90" s="88">
        <f>IFERROR(VLOOKUP($B90,'OMF by Acct'!$A:$T,19,0),0)</f>
        <v>0</v>
      </c>
      <c r="U90" s="91" t="e">
        <f>SUM(D90:T90)</f>
        <v>#N/A</v>
      </c>
      <c r="V90" s="88">
        <v>0</v>
      </c>
      <c r="W90" s="92"/>
      <c r="X90" s="86">
        <v>0</v>
      </c>
      <c r="Y90" s="86"/>
      <c r="Z90" s="66"/>
      <c r="AA90" s="65"/>
    </row>
    <row r="91" spans="1:27" ht="4.5" customHeight="1" thickBot="1" x14ac:dyDescent="0.3">
      <c r="C91" s="99"/>
      <c r="D91" s="100"/>
      <c r="E91" s="100"/>
      <c r="F91" s="100"/>
      <c r="G91" s="100"/>
      <c r="H91" s="100"/>
      <c r="I91" s="88">
        <v>0</v>
      </c>
      <c r="J91" s="100"/>
      <c r="K91" s="89">
        <f>IFERROR(VLOOKUP($B91,'OMF by Acct'!$A:$T,10,0),0)</f>
        <v>0</v>
      </c>
      <c r="L91" s="101"/>
      <c r="M91" s="102"/>
      <c r="N91" s="101"/>
      <c r="O91" s="89">
        <f>IFERROR(VLOOKUP($B91,'OMF by Acct'!$A:$T,14,0),0)</f>
        <v>0</v>
      </c>
      <c r="P91" s="89">
        <v>0</v>
      </c>
      <c r="Q91" s="89">
        <f>IFERROR(VLOOKUP($B91,'OMF by Acct'!$A:$T,16,0),0)</f>
        <v>0</v>
      </c>
      <c r="R91" s="100"/>
      <c r="S91" s="100"/>
      <c r="T91" s="100"/>
      <c r="U91" s="103"/>
      <c r="V91" s="103"/>
      <c r="W91" s="92"/>
      <c r="X91" s="86"/>
      <c r="Y91" s="86"/>
      <c r="Z91" s="66"/>
      <c r="AA91" s="65"/>
    </row>
    <row r="92" spans="1:27" ht="12" customHeight="1" thickBot="1" x14ac:dyDescent="0.3">
      <c r="C92" s="104" t="s">
        <v>86</v>
      </c>
      <c r="D92" s="105">
        <f>SUM(D11:D84)+1</f>
        <v>2304966.1928610001</v>
      </c>
      <c r="E92" s="106">
        <f t="shared" ref="E92:W92" si="8">SUM(E11:E84)</f>
        <v>806109</v>
      </c>
      <c r="F92" s="106">
        <f t="shared" si="8"/>
        <v>203194.57040999999</v>
      </c>
      <c r="G92" s="106">
        <f>SUM(G11:G84)</f>
        <v>2636595.8311999999</v>
      </c>
      <c r="H92" s="106">
        <f t="shared" si="8"/>
        <v>1316533.0575999999</v>
      </c>
      <c r="I92" s="106">
        <f>SUM(I11:I84)-1</f>
        <v>4328161.5927999998</v>
      </c>
      <c r="J92" s="106">
        <f t="shared" si="8"/>
        <v>1348947.25</v>
      </c>
      <c r="K92" s="107">
        <f t="shared" si="8"/>
        <v>818648.406495</v>
      </c>
      <c r="L92" s="107">
        <f t="shared" si="8"/>
        <v>9717506</v>
      </c>
      <c r="M92" s="107">
        <f t="shared" si="8"/>
        <v>4931052.88</v>
      </c>
      <c r="N92" s="107">
        <f>SUM(N11:N84)</f>
        <v>2688293.7972269999</v>
      </c>
      <c r="O92" s="107">
        <f t="shared" si="8"/>
        <v>110341208.027082</v>
      </c>
      <c r="P92" s="107">
        <f t="shared" si="8"/>
        <v>137931211</v>
      </c>
      <c r="Q92" s="107">
        <f t="shared" si="8"/>
        <v>88039877.284355998</v>
      </c>
      <c r="R92" s="106">
        <f t="shared" si="8"/>
        <v>3524704</v>
      </c>
      <c r="S92" s="106">
        <f t="shared" si="8"/>
        <v>309641038.04159999</v>
      </c>
      <c r="T92" s="106">
        <f t="shared" si="8"/>
        <v>51312225.251599997</v>
      </c>
      <c r="U92" s="106">
        <f>SUM(U11:U84)-2</f>
        <v>731890271.183231</v>
      </c>
      <c r="V92" s="106">
        <f t="shared" si="8"/>
        <v>641676693.00255704</v>
      </c>
      <c r="W92" s="106">
        <f t="shared" si="8"/>
        <v>90211580.180673987</v>
      </c>
      <c r="X92" s="108">
        <f>IF(V92=0,100%,W92/V92)</f>
        <v>0.14058727886554936</v>
      </c>
      <c r="Y92" s="109"/>
      <c r="Z92" s="66"/>
      <c r="AA92" s="65"/>
    </row>
    <row r="93" spans="1:27" ht="4.5" customHeight="1" thickTop="1" x14ac:dyDescent="0.25">
      <c r="C93" s="110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66"/>
      <c r="AA93" s="65"/>
    </row>
    <row r="94" spans="1:27" ht="4.5" customHeight="1" x14ac:dyDescent="0.25">
      <c r="C94" s="110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66"/>
      <c r="AA94" s="65"/>
    </row>
    <row r="95" spans="1:27" ht="27" customHeight="1" outlineLevel="1" x14ac:dyDescent="0.25">
      <c r="C95" s="110"/>
      <c r="D95" s="112"/>
      <c r="E95" s="112"/>
      <c r="F95" s="112"/>
      <c r="G95" s="87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>
        <v>253614491</v>
      </c>
      <c r="V95" s="113" t="s">
        <v>117</v>
      </c>
      <c r="W95" s="112"/>
      <c r="X95" s="111"/>
      <c r="Y95" s="111"/>
      <c r="Z95" s="66"/>
      <c r="AA95" s="65"/>
    </row>
    <row r="96" spans="1:27" ht="27.75" customHeight="1" outlineLevel="1" x14ac:dyDescent="0.25">
      <c r="C96" s="110"/>
      <c r="D96" s="114"/>
      <c r="E96" s="114"/>
      <c r="F96" s="114"/>
      <c r="G96" s="114"/>
      <c r="H96" s="114" t="s">
        <v>118</v>
      </c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>
        <v>97481261</v>
      </c>
      <c r="V96" s="113" t="s">
        <v>119</v>
      </c>
      <c r="W96" s="70"/>
      <c r="X96" s="70"/>
      <c r="Y96" s="70"/>
      <c r="Z96" s="66"/>
      <c r="AA96" s="65"/>
    </row>
    <row r="97" spans="3:26" ht="23.25" customHeight="1" outlineLevel="1" x14ac:dyDescent="0.25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115"/>
      <c r="Q97" s="66"/>
      <c r="R97" s="66"/>
      <c r="S97" s="66"/>
      <c r="T97" s="66"/>
      <c r="U97" s="114">
        <v>347964968</v>
      </c>
      <c r="V97" s="113" t="s">
        <v>120</v>
      </c>
      <c r="W97" s="66"/>
      <c r="X97" s="66"/>
      <c r="Y97" s="66"/>
      <c r="Z97" s="66"/>
    </row>
    <row r="98" spans="3:26" ht="22.5" customHeight="1" outlineLevel="1" x14ac:dyDescent="0.25">
      <c r="C98" s="66"/>
      <c r="D98" s="66"/>
      <c r="E98" s="66"/>
      <c r="F98" s="66"/>
      <c r="G98" s="66"/>
      <c r="H98" s="66"/>
      <c r="I98" s="66"/>
      <c r="J98" s="87"/>
      <c r="K98" s="87"/>
      <c r="L98" s="66"/>
      <c r="M98" s="66"/>
      <c r="N98" s="87"/>
      <c r="O98" s="66"/>
      <c r="P98" s="87"/>
      <c r="Q98" s="87"/>
      <c r="R98" s="66"/>
      <c r="S98" s="66"/>
      <c r="T98" s="66"/>
      <c r="U98" s="116">
        <v>32829551</v>
      </c>
      <c r="V98" s="113" t="s">
        <v>121</v>
      </c>
      <c r="W98" s="66"/>
      <c r="X98" s="66"/>
      <c r="Y98" s="66"/>
      <c r="Z98" s="66"/>
    </row>
    <row r="99" spans="3:26" ht="14.25" customHeight="1" outlineLevel="1" x14ac:dyDescent="0.25">
      <c r="C99" s="66"/>
      <c r="D99" s="66"/>
      <c r="E99" s="66"/>
      <c r="F99" s="66"/>
      <c r="G99" s="66"/>
      <c r="H99" s="66"/>
      <c r="I99" s="66"/>
      <c r="J99" s="87"/>
      <c r="K99" s="87"/>
      <c r="L99" s="66"/>
      <c r="M99" s="66"/>
      <c r="N99" s="87"/>
      <c r="O99" s="66"/>
      <c r="P99" s="87"/>
      <c r="Q99" s="87"/>
      <c r="R99" s="66"/>
      <c r="S99" s="66"/>
      <c r="T99" s="66"/>
      <c r="U99" s="87"/>
      <c r="V99" s="113"/>
      <c r="W99" s="66"/>
      <c r="X99" s="66"/>
      <c r="Y99" s="66"/>
      <c r="Z99" s="66"/>
    </row>
    <row r="100" spans="3:26" outlineLevel="1" x14ac:dyDescent="0.25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87">
        <f>SUM(U95:U98)</f>
        <v>731890271</v>
      </c>
      <c r="V100" s="113"/>
      <c r="W100" s="66"/>
      <c r="X100" s="66"/>
      <c r="Y100" s="66"/>
      <c r="Z100" s="66"/>
    </row>
    <row r="101" spans="3:26" outlineLevel="1" x14ac:dyDescent="0.25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87"/>
      <c r="O101" s="66"/>
      <c r="P101" s="117"/>
      <c r="Q101" s="87"/>
      <c r="R101" s="66"/>
      <c r="S101" s="66"/>
      <c r="T101" s="66"/>
      <c r="U101" s="66"/>
      <c r="V101" s="117"/>
      <c r="W101" s="66"/>
      <c r="X101" s="66"/>
      <c r="Y101" s="66"/>
      <c r="Z101" s="66"/>
    </row>
    <row r="102" spans="3:26" x14ac:dyDescent="0.25"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115">
        <f>+U92-U100</f>
        <v>0.18323099613189697</v>
      </c>
      <c r="V102" s="66"/>
      <c r="W102" s="87"/>
      <c r="X102" s="66"/>
      <c r="Y102" s="66"/>
      <c r="Z102" s="66"/>
    </row>
    <row r="103" spans="3:26" x14ac:dyDescent="0.25"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117"/>
      <c r="Q103" s="66"/>
      <c r="R103" s="66"/>
      <c r="S103" s="66"/>
      <c r="T103" s="66"/>
      <c r="U103" s="87"/>
      <c r="V103" s="113"/>
      <c r="W103" s="66"/>
      <c r="X103" s="66"/>
      <c r="Y103" s="66"/>
      <c r="Z103" s="66"/>
    </row>
    <row r="104" spans="3:26" x14ac:dyDescent="0.25"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87"/>
      <c r="W104" s="66"/>
      <c r="X104" s="66"/>
      <c r="Y104" s="66"/>
      <c r="Z104" s="66"/>
    </row>
    <row r="105" spans="3:26" x14ac:dyDescent="0.25"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118"/>
      <c r="Q105" s="66"/>
      <c r="R105" s="66"/>
      <c r="S105" s="66"/>
      <c r="T105" s="66"/>
      <c r="U105" s="87"/>
      <c r="V105" s="66"/>
      <c r="W105" s="66"/>
      <c r="X105" s="66"/>
      <c r="Y105" s="66"/>
      <c r="Z105" s="66"/>
    </row>
    <row r="106" spans="3:26" x14ac:dyDescent="0.25"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3:26" x14ac:dyDescent="0.25"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3:26" x14ac:dyDescent="0.25"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3:26" x14ac:dyDescent="0.25"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3:26" x14ac:dyDescent="0.25"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3:26" x14ac:dyDescent="0.25"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3:26" x14ac:dyDescent="0.25"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3:26" x14ac:dyDescent="0.25"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3:26" x14ac:dyDescent="0.25"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3:26" x14ac:dyDescent="0.25"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3:26" x14ac:dyDescent="0.25"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3:26" x14ac:dyDescent="0.25"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3:26" x14ac:dyDescent="0.25"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3:26" x14ac:dyDescent="0.25"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3:26" x14ac:dyDescent="0.25"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3:26" x14ac:dyDescent="0.25"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3:26" x14ac:dyDescent="0.25"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3:26" x14ac:dyDescent="0.25"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3:26" x14ac:dyDescent="0.25"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3:26" x14ac:dyDescent="0.25"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3:26" x14ac:dyDescent="0.25"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3:26" x14ac:dyDescent="0.25"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3:26" x14ac:dyDescent="0.25"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3:26" x14ac:dyDescent="0.25"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3:26" x14ac:dyDescent="0.25"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3:26" x14ac:dyDescent="0.25"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3:26" x14ac:dyDescent="0.25"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3:26" x14ac:dyDescent="0.25"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3:26" x14ac:dyDescent="0.25"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3:26" x14ac:dyDescent="0.25"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3:26" x14ac:dyDescent="0.25"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3:26" x14ac:dyDescent="0.25"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3:26" x14ac:dyDescent="0.25"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3:26" x14ac:dyDescent="0.25"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3:26" x14ac:dyDescent="0.25"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3:26" x14ac:dyDescent="0.25"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3:26" x14ac:dyDescent="0.25"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3:26" x14ac:dyDescent="0.25"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3:26" x14ac:dyDescent="0.25"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3:26" x14ac:dyDescent="0.25"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3:26" x14ac:dyDescent="0.25"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3:26" x14ac:dyDescent="0.25"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3:26" x14ac:dyDescent="0.25"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3:26" x14ac:dyDescent="0.25"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3:26" x14ac:dyDescent="0.25"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3:26" x14ac:dyDescent="0.25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3:26" x14ac:dyDescent="0.25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3:26" x14ac:dyDescent="0.25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3:26" x14ac:dyDescent="0.25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3:26" x14ac:dyDescent="0.25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3:26" x14ac:dyDescent="0.25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3:26" x14ac:dyDescent="0.25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3:26" x14ac:dyDescent="0.25"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3:26" x14ac:dyDescent="0.25"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3:26" x14ac:dyDescent="0.25"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3:26" x14ac:dyDescent="0.25"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3:26" x14ac:dyDescent="0.25"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3:26" x14ac:dyDescent="0.25"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3:26" x14ac:dyDescent="0.25"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3:26" x14ac:dyDescent="0.25"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3:26" x14ac:dyDescent="0.25"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3:26" x14ac:dyDescent="0.25"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3:26" x14ac:dyDescent="0.25"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3:26" x14ac:dyDescent="0.25"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3:26" x14ac:dyDescent="0.25"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3:26" x14ac:dyDescent="0.25"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3:26" x14ac:dyDescent="0.25"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3:26" x14ac:dyDescent="0.25"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3:26" x14ac:dyDescent="0.25"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3:26" x14ac:dyDescent="0.25"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3:26" x14ac:dyDescent="0.25"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3:26" x14ac:dyDescent="0.25"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3:26" x14ac:dyDescent="0.25"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3:26" x14ac:dyDescent="0.25"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3:26" x14ac:dyDescent="0.25"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3:26" x14ac:dyDescent="0.25"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3:26" x14ac:dyDescent="0.25"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3:26" x14ac:dyDescent="0.25"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3:26" x14ac:dyDescent="0.25"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3:26" x14ac:dyDescent="0.25"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3:26" x14ac:dyDescent="0.25"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3:26" x14ac:dyDescent="0.25"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3:26" x14ac:dyDescent="0.25"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3:26" x14ac:dyDescent="0.25"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3:26" x14ac:dyDescent="0.25"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3:26" x14ac:dyDescent="0.25"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3:26" x14ac:dyDescent="0.25"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3:26" x14ac:dyDescent="0.25"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3:26" x14ac:dyDescent="0.25"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3:26" x14ac:dyDescent="0.25"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3:26" x14ac:dyDescent="0.25"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3:26" x14ac:dyDescent="0.25"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3:26" x14ac:dyDescent="0.25"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3:26" x14ac:dyDescent="0.25"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3:26" x14ac:dyDescent="0.25"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3:26" x14ac:dyDescent="0.25"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3:26" x14ac:dyDescent="0.25"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3:26" x14ac:dyDescent="0.25"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3:26" x14ac:dyDescent="0.25"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3:26" x14ac:dyDescent="0.25"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3:26" x14ac:dyDescent="0.25"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3:26" x14ac:dyDescent="0.25"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3:26" x14ac:dyDescent="0.25"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3:26" x14ac:dyDescent="0.25"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3:26" x14ac:dyDescent="0.25"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3:26" x14ac:dyDescent="0.25"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3:26" x14ac:dyDescent="0.25"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3:26" x14ac:dyDescent="0.25"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3:26" x14ac:dyDescent="0.25"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3:26" x14ac:dyDescent="0.25"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3:26" x14ac:dyDescent="0.25"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3:26" x14ac:dyDescent="0.25"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3:26" x14ac:dyDescent="0.25"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3:26" x14ac:dyDescent="0.25"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3:26" x14ac:dyDescent="0.25"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3:26" x14ac:dyDescent="0.25"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3:26" x14ac:dyDescent="0.25"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3:26" x14ac:dyDescent="0.25"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3:26" x14ac:dyDescent="0.25"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3:26" x14ac:dyDescent="0.25"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3:26" x14ac:dyDescent="0.25"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3:26" x14ac:dyDescent="0.25"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3:26" x14ac:dyDescent="0.25"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3:26" x14ac:dyDescent="0.25"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3:26" x14ac:dyDescent="0.25"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3:26" x14ac:dyDescent="0.25"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3:26" x14ac:dyDescent="0.25"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3:26" x14ac:dyDescent="0.25"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3:26" x14ac:dyDescent="0.25"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3:26" x14ac:dyDescent="0.25"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3:26" x14ac:dyDescent="0.25"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3:26" x14ac:dyDescent="0.25"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3:26" x14ac:dyDescent="0.25"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3:26" x14ac:dyDescent="0.25"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3:26" x14ac:dyDescent="0.25"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3:26" x14ac:dyDescent="0.25"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3:26" x14ac:dyDescent="0.25"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3:26" x14ac:dyDescent="0.25"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3:26" x14ac:dyDescent="0.25"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3:26" x14ac:dyDescent="0.25"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3:26" x14ac:dyDescent="0.25"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3:26" x14ac:dyDescent="0.25"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3:26" x14ac:dyDescent="0.25"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3:26" x14ac:dyDescent="0.25"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3:26" x14ac:dyDescent="0.25"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3:26" x14ac:dyDescent="0.25"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3:26" x14ac:dyDescent="0.25"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3:26" x14ac:dyDescent="0.25"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3:26" x14ac:dyDescent="0.25"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3:26" x14ac:dyDescent="0.25"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3:26" x14ac:dyDescent="0.25"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3:26" x14ac:dyDescent="0.25"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3:26" x14ac:dyDescent="0.25"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3:26" x14ac:dyDescent="0.25"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3:26" x14ac:dyDescent="0.25"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3:26" x14ac:dyDescent="0.25"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3:26" x14ac:dyDescent="0.25"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3:26" x14ac:dyDescent="0.25"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3:26" x14ac:dyDescent="0.25"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3:26" x14ac:dyDescent="0.25"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3:26" x14ac:dyDescent="0.25"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3:26" x14ac:dyDescent="0.25"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3:26" x14ac:dyDescent="0.25"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3:26" x14ac:dyDescent="0.25"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3:26" x14ac:dyDescent="0.25"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3:26" x14ac:dyDescent="0.25"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3:26" x14ac:dyDescent="0.25"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3:26" x14ac:dyDescent="0.25"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pans="3:26" x14ac:dyDescent="0.25"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pans="3:26" x14ac:dyDescent="0.25"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pans="3:26" x14ac:dyDescent="0.25"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pans="3:26" x14ac:dyDescent="0.25"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pans="3:26" x14ac:dyDescent="0.25"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pans="3:26" x14ac:dyDescent="0.25"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pans="3:26" x14ac:dyDescent="0.25"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pans="3:26" x14ac:dyDescent="0.25"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pans="3:26" x14ac:dyDescent="0.25"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pans="3:26" x14ac:dyDescent="0.25"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pans="3:26" x14ac:dyDescent="0.25"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pans="3:26" x14ac:dyDescent="0.25"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3:26" x14ac:dyDescent="0.25"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pans="3:26" x14ac:dyDescent="0.25"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pans="3:26" x14ac:dyDescent="0.25"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pans="3:26" x14ac:dyDescent="0.25"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pans="3:26" x14ac:dyDescent="0.25"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pans="3:26" x14ac:dyDescent="0.25"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pans="3:26" x14ac:dyDescent="0.25"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pans="3:26" x14ac:dyDescent="0.25"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pans="3:26" x14ac:dyDescent="0.25"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pans="3:26" x14ac:dyDescent="0.25"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pans="3:26" x14ac:dyDescent="0.25"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pans="3:26" x14ac:dyDescent="0.25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pans="3:26" x14ac:dyDescent="0.25"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pans="3:26" x14ac:dyDescent="0.25"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pans="3:26" x14ac:dyDescent="0.25"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pans="3:26" x14ac:dyDescent="0.25"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pans="3:26" x14ac:dyDescent="0.25"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pans="3:26" x14ac:dyDescent="0.25"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pans="3:26" x14ac:dyDescent="0.25"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pans="3:26" x14ac:dyDescent="0.25"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pans="3:26" x14ac:dyDescent="0.25"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pans="3:26" x14ac:dyDescent="0.25"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pans="3:26" x14ac:dyDescent="0.25"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pans="3:26" x14ac:dyDescent="0.25"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pans="3:26" x14ac:dyDescent="0.25"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pans="3:26" x14ac:dyDescent="0.25"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pans="3:26" x14ac:dyDescent="0.25"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pans="3:26" x14ac:dyDescent="0.25"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pans="3:26" x14ac:dyDescent="0.25"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pans="3:26" x14ac:dyDescent="0.25"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pans="3:26" x14ac:dyDescent="0.25"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pans="3:26" x14ac:dyDescent="0.25"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pans="3:26" x14ac:dyDescent="0.25"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pans="3:26" x14ac:dyDescent="0.25"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pans="3:26" x14ac:dyDescent="0.25"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pans="3:26" x14ac:dyDescent="0.25"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pans="3:26" x14ac:dyDescent="0.25"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pans="3:26" x14ac:dyDescent="0.25"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pans="3:26" x14ac:dyDescent="0.25"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pans="3:26" x14ac:dyDescent="0.25"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pans="3:26" x14ac:dyDescent="0.25"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pans="3:26" x14ac:dyDescent="0.25"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pans="3:26" x14ac:dyDescent="0.25"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pans="3:26" x14ac:dyDescent="0.25"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pans="3:26" x14ac:dyDescent="0.25"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pans="3:26" x14ac:dyDescent="0.25"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pans="3:26" x14ac:dyDescent="0.25"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pans="3:26" x14ac:dyDescent="0.25"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pans="3:26" x14ac:dyDescent="0.25"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pans="3:26" x14ac:dyDescent="0.25"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pans="3:26" x14ac:dyDescent="0.25"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pans="3:26" x14ac:dyDescent="0.25"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pans="3:26" x14ac:dyDescent="0.25"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3:26" x14ac:dyDescent="0.25"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3:26" x14ac:dyDescent="0.25"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pans="3:26" x14ac:dyDescent="0.25"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pans="3:26" x14ac:dyDescent="0.25"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pans="3:26" x14ac:dyDescent="0.25"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pans="3:26" x14ac:dyDescent="0.25"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pans="3:26" x14ac:dyDescent="0.25"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pans="3:26" x14ac:dyDescent="0.25"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pans="3:26" x14ac:dyDescent="0.25"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pans="3:26" x14ac:dyDescent="0.25"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pans="3:26" x14ac:dyDescent="0.25"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pans="3:26" x14ac:dyDescent="0.25"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pans="3:26" x14ac:dyDescent="0.25"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pans="3:26" x14ac:dyDescent="0.25"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pans="3:26" x14ac:dyDescent="0.25"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pans="3:26" x14ac:dyDescent="0.25"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pans="3:26" x14ac:dyDescent="0.25"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pans="3:26" x14ac:dyDescent="0.25"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pans="3:26" x14ac:dyDescent="0.25"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pans="3:26" x14ac:dyDescent="0.25"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pans="3:26" x14ac:dyDescent="0.25"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3:26" x14ac:dyDescent="0.25"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3:26" x14ac:dyDescent="0.25"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pans="3:26" x14ac:dyDescent="0.25"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pans="3:26" x14ac:dyDescent="0.25"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pans="3:26" x14ac:dyDescent="0.25"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pans="3:26" x14ac:dyDescent="0.25"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</sheetData>
  <conditionalFormatting sqref="D95:Y96">
    <cfRule type="cellIs" dxfId="3" priority="4" operator="greaterThan">
      <formula>0</formula>
    </cfRule>
  </conditionalFormatting>
  <conditionalFormatting sqref="U97:V97">
    <cfRule type="cellIs" dxfId="2" priority="3" operator="greaterThan">
      <formula>0</formula>
    </cfRule>
  </conditionalFormatting>
  <conditionalFormatting sqref="V98">
    <cfRule type="cellIs" dxfId="1" priority="2" operator="greaterThan">
      <formula>0</formula>
    </cfRule>
  </conditionalFormatting>
  <conditionalFormatting sqref="U98">
    <cfRule type="cellIs" dxfId="0" priority="1" operator="greaterThan">
      <formula>0</formula>
    </cfRule>
  </conditionalFormatting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51" r:id="rId4" name="Control 3">
          <controlPr defaultSize="0" r:id="rId5">
            <anchor moveWithCells="1">
              <from>
                <xdr:col>2</xdr:col>
                <xdr:colOff>2468880</xdr:colOff>
                <xdr:row>0</xdr:row>
                <xdr:rowOff>0</xdr:rowOff>
              </from>
              <to>
                <xdr:col>3</xdr:col>
                <xdr:colOff>739140</xdr:colOff>
                <xdr:row>1</xdr:row>
                <xdr:rowOff>38100</xdr:rowOff>
              </to>
            </anchor>
          </controlPr>
        </control>
      </mc:Choice>
      <mc:Fallback>
        <control shapeId="2051" r:id="rId4" name="Control 3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2</xdr:col>
                <xdr:colOff>2468880</xdr:colOff>
                <xdr:row>0</xdr:row>
                <xdr:rowOff>0</xdr:rowOff>
              </from>
              <to>
                <xdr:col>3</xdr:col>
                <xdr:colOff>739140</xdr:colOff>
                <xdr:row>1</xdr:row>
                <xdr:rowOff>38100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49" r:id="rId8" name="Control 1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198120</xdr:colOff>
                <xdr:row>1</xdr:row>
                <xdr:rowOff>38100</xdr:rowOff>
              </to>
            </anchor>
          </controlPr>
        </control>
      </mc:Choice>
      <mc:Fallback>
        <control shapeId="2049" r:id="rId8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OMF by Acct</vt:lpstr>
      <vt:lpstr>All Funds</vt:lpstr>
    </vt:vector>
  </TitlesOfParts>
  <Company>North Texas Tollway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McGaha, Sherra</dc:creator>
  <cp:lastModifiedBy>McGaha, Sherra</cp:lastModifiedBy>
  <dcterms:created xsi:type="dcterms:W3CDTF">2024-12-26T17:17:51Z</dcterms:created>
  <dcterms:modified xsi:type="dcterms:W3CDTF">2024-12-26T17:19:13Z</dcterms:modified>
</cp:coreProperties>
</file>