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Treasury\Debt Manager\Transparancy Stars\FY2023 Updates\"/>
    </mc:Choice>
  </mc:AlternateContent>
  <xr:revisionPtr revIDLastSave="0" documentId="8_{55B793E6-19FA-4E10-97D5-025031264224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Revenue" sheetId="12" r:id="rId1"/>
    <sheet name="Expenses" sheetId="5" r:id="rId2"/>
    <sheet name="Revenue Graph" sheetId="11" r:id="rId3"/>
    <sheet name="Transactions" sheetId="4" r:id="rId4"/>
    <sheet name="FTEs" sheetId="6" r:id="rId5"/>
    <sheet name="TollTags" sheetId="7" r:id="rId6"/>
    <sheet name="DC Ratios" sheetId="8" r:id="rId7"/>
    <sheet name="Lane Miles" sheetId="9" r:id="rId8"/>
    <sheet name="Inputs" sheetId="3" r:id="rId9"/>
  </sheets>
  <definedNames>
    <definedName name="_xlnm.Print_Area" localSheetId="2">'Revenue Graph'!$A$1:$G$28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H29" i="3" l="1"/>
  <c r="G29" i="3"/>
  <c r="F29" i="3"/>
  <c r="E29" i="3"/>
  <c r="G16" i="3"/>
  <c r="F16" i="3"/>
  <c r="D6" i="12" l="1"/>
  <c r="Q30" i="3" l="1"/>
  <c r="H9" i="5" s="1"/>
  <c r="Q29" i="3"/>
  <c r="H8" i="5" s="1"/>
  <c r="Q16" i="3"/>
  <c r="Q15" i="3"/>
  <c r="Q11" i="3"/>
  <c r="H9" i="12" s="1"/>
  <c r="Q10" i="3"/>
  <c r="H8" i="12" s="1"/>
  <c r="I31" i="3" l="1"/>
  <c r="Q31" i="3" s="1"/>
  <c r="H10" i="5" s="1"/>
  <c r="I22" i="3"/>
  <c r="I36" i="3" s="1"/>
  <c r="I17" i="3"/>
  <c r="Q17" i="3" s="1"/>
  <c r="I14" i="3"/>
  <c r="I12" i="3"/>
  <c r="Q12" i="3" s="1"/>
  <c r="H10" i="12" s="1"/>
  <c r="P30" i="3"/>
  <c r="G9" i="5" s="1"/>
  <c r="P29" i="3"/>
  <c r="G8" i="5" s="1"/>
  <c r="H14" i="3"/>
  <c r="H22" i="3"/>
  <c r="H36" i="3" s="1"/>
  <c r="P15" i="3"/>
  <c r="P16" i="3"/>
  <c r="P11" i="3"/>
  <c r="G9" i="12" s="1"/>
  <c r="P10" i="3"/>
  <c r="G8" i="12" s="1"/>
  <c r="H12" i="3"/>
  <c r="P12" i="3" s="1"/>
  <c r="G10" i="12" s="1"/>
  <c r="I46" i="3" l="1"/>
  <c r="I41" i="3"/>
  <c r="I51" i="3"/>
  <c r="I28" i="3"/>
  <c r="H17" i="3"/>
  <c r="P17" i="3" s="1"/>
  <c r="H51" i="3"/>
  <c r="H46" i="3"/>
  <c r="H41" i="3"/>
  <c r="H31" i="3"/>
  <c r="P31" i="3" s="1"/>
  <c r="G10" i="5" s="1"/>
  <c r="H28" i="3"/>
  <c r="D14" i="3" l="1"/>
  <c r="E14" i="3"/>
  <c r="F14" i="3"/>
  <c r="G14" i="3"/>
  <c r="C14" i="3"/>
  <c r="K9" i="3"/>
  <c r="K28" i="3" s="1"/>
  <c r="D22" i="3" l="1"/>
  <c r="E22" i="3"/>
  <c r="F22" i="3"/>
  <c r="G22" i="3"/>
  <c r="C22" i="3"/>
  <c r="C6" i="5"/>
  <c r="L9" i="3"/>
  <c r="F12" i="3"/>
  <c r="E12" i="3"/>
  <c r="C12" i="3"/>
  <c r="D12" i="3"/>
  <c r="C36" i="3" l="1"/>
  <c r="C28" i="3"/>
  <c r="M9" i="3"/>
  <c r="L28" i="3"/>
  <c r="G28" i="3"/>
  <c r="G36" i="3"/>
  <c r="F36" i="3"/>
  <c r="F28" i="3"/>
  <c r="E36" i="3"/>
  <c r="E28" i="3"/>
  <c r="D36" i="3"/>
  <c r="D28" i="3"/>
  <c r="E6" i="12"/>
  <c r="D6" i="5"/>
  <c r="O30" i="3"/>
  <c r="F9" i="5" s="1"/>
  <c r="N30" i="3"/>
  <c r="E9" i="5" s="1"/>
  <c r="M30" i="3"/>
  <c r="D9" i="5" s="1"/>
  <c r="L30" i="3"/>
  <c r="C9" i="5" s="1"/>
  <c r="K30" i="3"/>
  <c r="L29" i="3"/>
  <c r="C8" i="5" s="1"/>
  <c r="M29" i="3"/>
  <c r="D8" i="5" s="1"/>
  <c r="N29" i="3"/>
  <c r="E8" i="5" s="1"/>
  <c r="O29" i="3"/>
  <c r="F8" i="5" s="1"/>
  <c r="K29" i="3"/>
  <c r="G31" i="3"/>
  <c r="O31" i="3" s="1"/>
  <c r="F10" i="5" s="1"/>
  <c r="F31" i="3"/>
  <c r="N31" i="3" s="1"/>
  <c r="E10" i="5" s="1"/>
  <c r="E31" i="3"/>
  <c r="M31" i="3" s="1"/>
  <c r="D10" i="5" s="1"/>
  <c r="D31" i="3"/>
  <c r="L31" i="3" s="1"/>
  <c r="C10" i="5" s="1"/>
  <c r="C31" i="3"/>
  <c r="O16" i="3"/>
  <c r="M16" i="3"/>
  <c r="O15" i="3"/>
  <c r="N15" i="3"/>
  <c r="M15" i="3"/>
  <c r="L15" i="3"/>
  <c r="K15" i="3"/>
  <c r="N12" i="3"/>
  <c r="E10" i="12" s="1"/>
  <c r="O11" i="3"/>
  <c r="F9" i="12" s="1"/>
  <c r="N11" i="3"/>
  <c r="E9" i="12" s="1"/>
  <c r="M11" i="3"/>
  <c r="D9" i="12" s="1"/>
  <c r="L11" i="3"/>
  <c r="C9" i="12" s="1"/>
  <c r="K11" i="3"/>
  <c r="L10" i="3"/>
  <c r="C8" i="12" s="1"/>
  <c r="M10" i="3"/>
  <c r="D8" i="12" s="1"/>
  <c r="N10" i="3"/>
  <c r="E8" i="12" s="1"/>
  <c r="O10" i="3"/>
  <c r="F8" i="12" s="1"/>
  <c r="K10" i="3"/>
  <c r="E17" i="3"/>
  <c r="M17" i="3" s="1"/>
  <c r="G17" i="3"/>
  <c r="O17" i="3" s="1"/>
  <c r="F17" i="3"/>
  <c r="N17" i="3" s="1"/>
  <c r="D17" i="3"/>
  <c r="L17" i="3" s="1"/>
  <c r="K16" i="3"/>
  <c r="G12" i="3"/>
  <c r="O12" i="3" s="1"/>
  <c r="F10" i="12" s="1"/>
  <c r="M12" i="3"/>
  <c r="D10" i="12" s="1"/>
  <c r="L12" i="3"/>
  <c r="C10" i="12" s="1"/>
  <c r="K12" i="3"/>
  <c r="K31" i="3" l="1"/>
  <c r="N9" i="3"/>
  <c r="M28" i="3"/>
  <c r="C51" i="3"/>
  <c r="C46" i="3"/>
  <c r="C41" i="3"/>
  <c r="D51" i="3"/>
  <c r="D41" i="3"/>
  <c r="D46" i="3"/>
  <c r="E51" i="3"/>
  <c r="E41" i="3"/>
  <c r="E46" i="3"/>
  <c r="F46" i="3"/>
  <c r="F51" i="3"/>
  <c r="F41" i="3"/>
  <c r="G46" i="3"/>
  <c r="G51" i="3"/>
  <c r="G41" i="3"/>
  <c r="F6" i="12"/>
  <c r="E6" i="5"/>
  <c r="C17" i="3"/>
  <c r="K17" i="3" s="1"/>
  <c r="L16" i="3"/>
  <c r="N16" i="3"/>
  <c r="O9" i="3" l="1"/>
  <c r="N28" i="3"/>
  <c r="G6" i="12"/>
  <c r="F6" i="5"/>
  <c r="G6" i="5" l="1"/>
  <c r="H6" i="12"/>
  <c r="H6" i="5" s="1"/>
  <c r="P9" i="3"/>
  <c r="O28" i="3"/>
  <c r="P28" i="3" l="1"/>
  <c r="Q9" i="3"/>
  <c r="Q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tc={3C2F42E6-1395-49EB-A555-01F3482E21F2}</author>
  </authors>
  <commentList>
    <comment ref="B29" authorId="0" shapeId="0" xr:uid="{3C2F42E6-1395-49EB-A555-01F3482E21F2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operating minus amort &amp; depr</t>
      </text>
    </comment>
  </commentList>
</comments>
</file>

<file path=xl/sharedStrings.xml><?xml version="1.0" encoding="utf-8"?>
<sst xmlns="http://schemas.openxmlformats.org/spreadsheetml/2006/main" count="42" uniqueCount="29">
  <si>
    <t>NTTA System</t>
  </si>
  <si>
    <t>Toll Revenues</t>
  </si>
  <si>
    <t>Other Revenues</t>
  </si>
  <si>
    <t>Total Revenue</t>
  </si>
  <si>
    <t>Operating Expenses</t>
  </si>
  <si>
    <t>Debt Service</t>
  </si>
  <si>
    <t>Total Expenses</t>
  </si>
  <si>
    <t>Expenses - Operating &amp; Debt Service</t>
  </si>
  <si>
    <t>Transactions</t>
  </si>
  <si>
    <t>Actual</t>
  </si>
  <si>
    <t>Budget</t>
  </si>
  <si>
    <t>Full Time Employees</t>
  </si>
  <si>
    <t>Active TollTags</t>
  </si>
  <si>
    <t>Debt Coverage</t>
  </si>
  <si>
    <t>Lane Miles</t>
  </si>
  <si>
    <t>Total Actual FTE</t>
  </si>
  <si>
    <t>System</t>
  </si>
  <si>
    <t>Revenues (Budget)</t>
  </si>
  <si>
    <t>Revenues (Actuals)</t>
  </si>
  <si>
    <t>In millions</t>
  </si>
  <si>
    <t>REVENUE INPUT</t>
  </si>
  <si>
    <r>
      <t xml:space="preserve">NTTA SYSTEM        </t>
    </r>
    <r>
      <rPr>
        <b/>
        <sz val="12"/>
        <color theme="1"/>
        <rFont val="Calibri"/>
        <family val="2"/>
        <scheme val="minor"/>
      </rPr>
      <t>(in millions)</t>
    </r>
  </si>
  <si>
    <t>Expenses--Operating &amp; Debt Service</t>
  </si>
  <si>
    <r>
      <t>Operating</t>
    </r>
    <r>
      <rPr>
        <sz val="12"/>
        <color theme="1"/>
        <rFont val="Calibri"/>
        <family val="2"/>
        <scheme val="minor"/>
      </rPr>
      <t>*</t>
    </r>
  </si>
  <si>
    <r>
      <t>Debt Service</t>
    </r>
    <r>
      <rPr>
        <vertAlign val="superscript"/>
        <sz val="12"/>
        <color theme="1"/>
        <rFont val="Calibri"/>
        <family val="2"/>
        <scheme val="minor"/>
      </rPr>
      <t>**</t>
    </r>
  </si>
  <si>
    <t>Total Expenditures</t>
  </si>
  <si>
    <t>* Operating expenses exclude non-cash amortization and depreciation</t>
  </si>
  <si>
    <t>** Debt service is net of capitalized interest</t>
  </si>
  <si>
    <t>Revenues--Toll and Other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</si>
</sst>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* #,##0.0_);_(* \(#,##0.0\);_(* &quot;-&quot;??_);_(@_)"/>
    <numFmt numFmtId="167" formatCode="0.0"/>
    <numFmt numFmtId="168" formatCode="_(&quot;$&quot;* #,##0.0_);_(&quot;$&quot;* \(#,##0.0\);_(&quot;$&quot;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0" xfId="1" applyFont="1"/>
    <xf numFmtId="164" fontId="0" fillId="0" borderId="0" xfId="1" applyNumberFormat="1" applyFont="1" applyFill="1"/>
    <xf numFmtId="164" fontId="0" fillId="0" borderId="1" xfId="1" applyNumberFormat="1" applyFont="1" applyFill="1" applyBorder="1"/>
    <xf numFmtId="43" fontId="0" fillId="0" borderId="0" xfId="1" applyFont="1" applyFill="1"/>
    <xf numFmtId="0" fontId="3" fillId="0" borderId="0" xfId="0" applyFont="1"/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165" fontId="3" fillId="0" borderId="0" xfId="2" applyNumberFormat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6" fillId="0" borderId="0" xfId="0" applyFont="1"/>
    <xf numFmtId="166" fontId="0" fillId="0" borderId="0" xfId="1" applyNumberFormat="1" applyFont="1"/>
    <xf numFmtId="166" fontId="0" fillId="0" borderId="1" xfId="1" applyNumberFormat="1" applyFont="1" applyBorder="1"/>
    <xf numFmtId="166" fontId="3" fillId="0" borderId="0" xfId="1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165" fontId="4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7" fontId="0" fillId="0" borderId="0" xfId="0" applyNumberFormat="1"/>
    <xf numFmtId="167" fontId="0" fillId="0" borderId="1" xfId="0" applyNumberFormat="1" applyBorder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0" applyNumberFormat="1"/>
    <xf numFmtId="0" fontId="6" fillId="0" borderId="0" xfId="0" applyFont="1" applyAlignment="1">
      <alignment horizontal="center"/>
    </xf>
    <xf numFmtId="168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NTTA </a:t>
            </a:r>
            <a:r>
              <a:rPr lang="en-US" sz="1800" b="1" baseline="0"/>
              <a:t>System</a:t>
            </a:r>
          </a:p>
          <a:p>
            <a:pPr>
              <a:defRPr sz="1600" b="1"/>
            </a:pPr>
            <a:r>
              <a:rPr lang="en-US" sz="1800" b="1" baseline="0"/>
              <a:t>Actual and Estimated Revenues</a:t>
            </a:r>
            <a:endParaRPr lang="en-US" sz="1800" b="1"/>
          </a:p>
        </c:rich>
      </c:tx>
      <c:layout>
        <c:manualLayout>
          <c:xMode val="edge"/>
          <c:yMode val="edge"/>
          <c:x val="0.34758109686550959"/>
          <c:y val="1.748633679143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lineChart>
        <c:grouping val="standard"/>
        <c:varyColors val="0"/>
        <c:ser>
          <c:idx val="0"/>
          <c:order val="0"/>
          <c:tx>
            <c:v>Actual Revenue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Inputs!$M$9:$Q$9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Inputs!$M$12:$Q$12</c:f>
              <c:numCache>
                <c:formatCode>_(* #,##0.0_);_(* \(#,##0.0\);_(* "-"??_);_(@_)</c:formatCode>
                <c:ptCount val="5"/>
                <c:pt idx="0">
                  <c:v>959.03195800000003</c:v>
                </c:pt>
                <c:pt idx="1">
                  <c:v>748.57945400000006</c:v>
                </c:pt>
                <c:pt idx="2">
                  <c:v>925.28302799999994</c:v>
                </c:pt>
                <c:pt idx="3">
                  <c:v>1080.4923759999999</c:v>
                </c:pt>
                <c:pt idx="4">
                  <c:v>1217.1140869999999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E-4446-8911-229A1B46FFF5}"/>
            </c:ext>
          </c:extLst>
        </c:ser>
        <c:ser>
          <c:idx val="1"/>
          <c:order val="1"/>
          <c:tx>
            <c:v>Estimated Revenue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Inputs!$M$9:$Q$9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Inputs!$M$17:$Q$17</c:f>
              <c:numCache>
                <c:formatCode>_(* #,##0.0_);_(* \(#,##0.0\);_(* "-"??_);_(@_)</c:formatCode>
                <c:ptCount val="5"/>
                <c:pt idx="0">
                  <c:v>950.23879999999997</c:v>
                </c:pt>
                <c:pt idx="1">
                  <c:v>996.77760000000001</c:v>
                </c:pt>
                <c:pt idx="2">
                  <c:v>829.20370000000003</c:v>
                </c:pt>
                <c:pt idx="3">
                  <c:v>1002.03895</c:v>
                </c:pt>
                <c:pt idx="4">
                  <c:v>1099.3757250000001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E-4446-8911-229A1B46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04016"/>
        <c:axId val="210303232"/>
      </c:lineChart>
      <c:catAx>
        <c:axId val="21030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03232"/>
        <c:crosses val="autoZero"/>
        <c:auto val="1"/>
        <c:lblAlgn val="ctr"/>
        <c:lblOffset val="100"/>
        <c:noMultiLvlLbl val="0"/>
      </c:catAx>
      <c:valAx>
        <c:axId val="21030323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(in </a:t>
                </a:r>
                <a:r>
                  <a:rPr lang="en-US" sz="900" b="1"/>
                  <a:t>millions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1.0883016586277501E-2"/>
              <c:y val="0.12022086023597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040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NTTA </a:t>
            </a:r>
            <a:r>
              <a:rPr lang="en-US" sz="1800" b="1" baseline="0"/>
              <a:t>System</a:t>
            </a:r>
          </a:p>
          <a:p>
            <a:pPr>
              <a:defRPr b="1"/>
            </a:pPr>
            <a:r>
              <a:rPr lang="en-US" sz="1800" b="1" baseline="0"/>
              <a:t>Actual and Estimated Transactions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lineChart>
        <c:grouping val="standard"/>
        <c:varyColors val="0"/>
        <c:ser>
          <c:idx val="0"/>
          <c:order val="0"/>
          <c:tx>
            <c:v>Actual Transactions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Inputs!$E$22:$I$22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Inputs!$E$23:$I$23</c:f>
              <c:numCache>
                <c:formatCode>_(* #,##0_);_(* \(#,##0\);_(* "-"??_);_(@_)</c:formatCode>
                <c:ptCount val="5"/>
                <c:pt idx="0">
                  <c:v>847392583</c:v>
                </c:pt>
                <c:pt idx="1">
                  <c:v>650219349</c:v>
                </c:pt>
                <c:pt idx="2">
                  <c:v>810083028</c:v>
                </c:pt>
                <c:pt idx="3">
                  <c:v>877256430</c:v>
                </c:pt>
                <c:pt idx="4">
                  <c:v>930931745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8-4E5D-A2F9-FC9CE78CC163}"/>
            </c:ext>
          </c:extLst>
        </c:ser>
        <c:ser>
          <c:idx val="1"/>
          <c:order val="1"/>
          <c:tx>
            <c:v>Estimated Transactions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Inputs!$E$22:$I$22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Inputs!$E$24:$I$24</c:f>
              <c:numCache>
                <c:formatCode>_(* #,##0_);_(* \(#,##0\);_(* "-"??_);_(@_)</c:formatCode>
                <c:ptCount val="5"/>
                <c:pt idx="0">
                  <c:v>847833400</c:v>
                </c:pt>
                <c:pt idx="1">
                  <c:v>871574300</c:v>
                </c:pt>
                <c:pt idx="2">
                  <c:v>737914000</c:v>
                </c:pt>
                <c:pt idx="3">
                  <c:v>865230900</c:v>
                </c:pt>
                <c:pt idx="4">
                  <c:v>911727200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8-4E5D-A2F9-FC9CE78CC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01016"/>
        <c:axId val="531104544"/>
      </c:lineChart>
      <c:catAx>
        <c:axId val="53110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4544"/>
        <c:crosses val="autoZero"/>
        <c:auto val="1"/>
        <c:lblAlgn val="ctr"/>
        <c:lblOffset val="100"/>
        <c:noMultiLvlLbl val="0"/>
      </c:catAx>
      <c:valAx>
        <c:axId val="531104544"/>
        <c:scaling>
          <c:orientation val="minMax"/>
          <c:min val="3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(in </a:t>
                </a:r>
                <a:r>
                  <a:rPr lang="en-US" sz="900" b="1"/>
                  <a:t>millions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1.9259979937062841E-2"/>
              <c:y val="0.14998824147096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1016"/>
        <c:crosses val="autoZero"/>
        <c:crossBetween val="between"/>
        <c:minorUnit val="3000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NTTA Five-Years Trend</a:t>
            </a:r>
          </a:p>
          <a:p>
            <a:pPr>
              <a:defRPr b="1"/>
            </a:pPr>
            <a:r>
              <a:rPr lang="en-US" sz="2000" b="1"/>
              <a:t> Total FTE's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 w="22225"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numRef>
              <c:f>Inputs!$E$36:$I$36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Inputs!$E$37:$I$37</c:f>
              <c:numCache>
                <c:formatCode>_(* #,##0_);_(* \(#,##0\);_(* "-"??_);_(@_)</c:formatCode>
                <c:ptCount val="5"/>
                <c:pt idx="0">
                  <c:v>815</c:v>
                </c:pt>
                <c:pt idx="1">
                  <c:v>719</c:v>
                </c:pt>
                <c:pt idx="2">
                  <c:v>644</c:v>
                </c:pt>
                <c:pt idx="3">
                  <c:v>709</c:v>
                </c:pt>
                <c:pt idx="4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6-4DF8-A48C-73ACE7408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02976"/>
        <c:axId val="531104936"/>
      </c:barChart>
      <c:catAx>
        <c:axId val="53110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4936"/>
        <c:crosses val="autoZero"/>
        <c:auto val="1"/>
        <c:lblAlgn val="ctr"/>
        <c:lblOffset val="100"/>
        <c:noMultiLvlLbl val="0"/>
      </c:catAx>
      <c:valAx>
        <c:axId val="53110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NTTA Five-Years Trend</a:t>
            </a:r>
          </a:p>
          <a:p>
            <a:pPr>
              <a:defRPr b="1"/>
            </a:pPr>
            <a:r>
              <a:rPr lang="en-US" sz="2000" b="1"/>
              <a:t>Active TollTags</a:t>
            </a:r>
          </a:p>
        </c:rich>
      </c:tx>
      <c:layout>
        <c:manualLayout>
          <c:xMode val="edge"/>
          <c:yMode val="edge"/>
          <c:x val="0.36092498385345811"/>
          <c:y val="2.2325579214983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22225">
              <a:solidFill>
                <a:schemeClr val="tx1"/>
              </a:solidFill>
            </a:ln>
            <a:effectLst/>
          </c:spPr>
          <c:invertIfNegative val="0"/>
          <c:cat>
            <c:numRef>
              <c:f>Inputs!$E$41:$I$41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Inputs!$E$42:$I$42</c:f>
              <c:numCache>
                <c:formatCode>_(* #,##0_);_(* \(#,##0\);_(* "-"??_);_(@_)</c:formatCode>
                <c:ptCount val="5"/>
                <c:pt idx="0">
                  <c:v>5930349</c:v>
                </c:pt>
                <c:pt idx="1">
                  <c:v>5953519</c:v>
                </c:pt>
                <c:pt idx="2">
                  <c:v>6098972</c:v>
                </c:pt>
                <c:pt idx="3">
                  <c:v>6520065</c:v>
                </c:pt>
                <c:pt idx="4">
                  <c:v>7005276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E-461E-A96C-1CB8C7057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00232"/>
        <c:axId val="531105720"/>
      </c:barChart>
      <c:catAx>
        <c:axId val="53110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5720"/>
        <c:crosses val="autoZero"/>
        <c:auto val="1"/>
        <c:lblAlgn val="ctr"/>
        <c:lblOffset val="100"/>
        <c:noMultiLvlLbl val="0"/>
      </c:catAx>
      <c:valAx>
        <c:axId val="5311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023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NTTA Five-Years Trend</a:t>
            </a:r>
          </a:p>
          <a:p>
            <a:pPr>
              <a:defRPr b="1"/>
            </a:pPr>
            <a:r>
              <a:rPr lang="en-US" sz="2000" b="1"/>
              <a:t>Debt Coverage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solidFill>
                <a:schemeClr val="tx1"/>
              </a:solidFill>
            </a:ln>
            <a:effectLst/>
          </c:spPr>
          <c:invertIfNegative val="0"/>
          <c:cat>
            <c:numRef>
              <c:f>Inputs!$E$46:$I$46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Inputs!$E$47:$I$47</c:f>
              <c:numCache>
                <c:formatCode>_(* #,##0.00_);_(* \(#,##0.00\);_(* "-"??_);_(@_)</c:formatCode>
                <c:ptCount val="5"/>
                <c:pt idx="0">
                  <c:v>1.42</c:v>
                </c:pt>
                <c:pt idx="1">
                  <c:v>1.28</c:v>
                </c:pt>
                <c:pt idx="2">
                  <c:v>1.43</c:v>
                </c:pt>
                <c:pt idx="3">
                  <c:v>1.49</c:v>
                </c:pt>
                <c:pt idx="4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E-421D-B666-BCF1BEC2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04152"/>
        <c:axId val="531100624"/>
      </c:barChart>
      <c:catAx>
        <c:axId val="53110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0624"/>
        <c:crosses val="autoZero"/>
        <c:auto val="1"/>
        <c:lblAlgn val="ctr"/>
        <c:lblOffset val="100"/>
        <c:noMultiLvlLbl val="0"/>
      </c:catAx>
      <c:valAx>
        <c:axId val="53110062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NTTA Five-Years Trend</a:t>
            </a:r>
          </a:p>
          <a:p>
            <a:pPr>
              <a:defRPr b="1"/>
            </a:pPr>
            <a:r>
              <a:rPr lang="en-US" sz="2000" b="1"/>
              <a:t>Lane Miles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lineChart>
        <c:grouping val="standard"/>
        <c:varyColors val="0"/>
        <c:ser>
          <c:idx val="0"/>
          <c:order val="0"/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Inputs!$E$51:$I$51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Inputs!$E$52:$I$52</c:f>
              <c:numCache>
                <c:formatCode>_(* #,##0_);_(* \(#,##0\);_(* "-"??_);_(@_)</c:formatCode>
                <c:ptCount val="5"/>
                <c:pt idx="0">
                  <c:v>1084</c:v>
                </c:pt>
                <c:pt idx="1">
                  <c:v>1089</c:v>
                </c:pt>
                <c:pt idx="2">
                  <c:v>1158</c:v>
                </c:pt>
                <c:pt idx="3">
                  <c:v>1188</c:v>
                </c:pt>
                <c:pt idx="4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1-4FCD-9722-C8EA4F5B5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106896"/>
        <c:axId val="531103368"/>
      </c:lineChart>
      <c:catAx>
        <c:axId val="53110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3368"/>
        <c:crosses val="autoZero"/>
        <c:auto val="1"/>
        <c:lblAlgn val="ctr"/>
        <c:lblOffset val="100"/>
        <c:noMultiLvlLbl val="0"/>
      </c:catAx>
      <c:valAx>
        <c:axId val="53110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10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</xdr:row>
      <xdr:rowOff>80962</xdr:rowOff>
    </xdr:from>
    <xdr:to>
      <xdr:col>6</xdr:col>
      <xdr:colOff>581024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80962</xdr:rowOff>
    </xdr:from>
    <xdr:to>
      <xdr:col>6</xdr:col>
      <xdr:colOff>581024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80962</xdr:rowOff>
    </xdr:from>
    <xdr:to>
      <xdr:col>6</xdr:col>
      <xdr:colOff>581024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80962</xdr:rowOff>
    </xdr:from>
    <xdr:to>
      <xdr:col>6</xdr:col>
      <xdr:colOff>581024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80962</xdr:rowOff>
    </xdr:from>
    <xdr:to>
      <xdr:col>6</xdr:col>
      <xdr:colOff>581024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80962</xdr:rowOff>
    </xdr:from>
    <xdr:to>
      <xdr:col>6</xdr:col>
      <xdr:colOff>581024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ramillo, Jason" id="{48E747D8-E635-4C0D-9774-D1D9ED853C46}" userId="S::JJaramillo@ntta.org::aa336e3d-453d-455d-b34b-ffca6b763e7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4-08-01T22:49:52.94" personId="{48E747D8-E635-4C0D-9774-D1D9ED853C46}" id="{3C2F42E6-1395-49EB-A555-01F3482E21F2}">
    <text>Total operating minus amort &amp; depr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B4:N19"/>
  <sheetViews>
    <sheetView showGridLines="0" tabSelected="1" topLeftCell="B1" zoomScale="85" zoomScaleNormal="85" workbookViewId="0">
      <selection activeCell="D21" sqref="D21"/>
    </sheetView>
  </sheetViews>
  <sheetFormatPr defaultRowHeight="14.4" x14ac:dyDescent="0.3"/>
  <cols>
    <col min="2" max="2" width="23.44140625" bestFit="1" customWidth="1"/>
    <col min="3" max="3" width="26.33203125" hidden="1" customWidth="1"/>
    <col min="4" max="8" width="26.33203125" bestFit="1" customWidth="1"/>
    <col min="10" max="14" width="15.33203125" bestFit="1" customWidth="1"/>
  </cols>
  <sheetData>
    <row r="4" spans="2:14" ht="23.4" x14ac:dyDescent="0.45">
      <c r="B4" s="31" t="s">
        <v>28</v>
      </c>
      <c r="C4" s="31"/>
      <c r="D4" s="31"/>
      <c r="E4" s="31"/>
      <c r="F4" s="31"/>
      <c r="G4" s="31"/>
      <c r="H4" s="31"/>
    </row>
    <row r="5" spans="2:14" ht="21.6" thickBot="1" x14ac:dyDescent="0.45">
      <c r="B5" s="8"/>
      <c r="C5" s="8"/>
      <c r="D5" s="8"/>
      <c r="E5" s="8"/>
      <c r="F5" s="8"/>
      <c r="G5" s="8"/>
      <c r="H5" s="8"/>
    </row>
    <row r="6" spans="2:14" ht="39.75" customHeight="1" thickBot="1" x14ac:dyDescent="0.45">
      <c r="B6" s="17" t="s">
        <v>21</v>
      </c>
      <c r="C6" s="23">
        <v>2018</v>
      </c>
      <c r="D6" s="23">
        <f>C6+1</f>
        <v>2019</v>
      </c>
      <c r="E6" s="23">
        <f t="shared" ref="E6:H6" si="0">D6+1</f>
        <v>2020</v>
      </c>
      <c r="F6" s="23">
        <f t="shared" si="0"/>
        <v>2021</v>
      </c>
      <c r="G6" s="23">
        <f t="shared" si="0"/>
        <v>2022</v>
      </c>
      <c r="H6" s="24">
        <f t="shared" si="0"/>
        <v>2023</v>
      </c>
      <c r="J6" s="2"/>
    </row>
    <row r="7" spans="2:14" ht="1.5" customHeight="1" x14ac:dyDescent="0.4">
      <c r="B7" s="8"/>
      <c r="C7" s="8"/>
      <c r="D7" s="8"/>
      <c r="E7" s="8"/>
      <c r="F7" s="8"/>
      <c r="G7" s="8"/>
      <c r="H7" s="8"/>
    </row>
    <row r="8" spans="2:14" ht="26.25" customHeight="1" x14ac:dyDescent="0.4">
      <c r="B8" s="10" t="s">
        <v>1</v>
      </c>
      <c r="C8" s="11">
        <f>Inputs!L10</f>
        <v>841.49101599999995</v>
      </c>
      <c r="D8" s="11">
        <f>Inputs!M10</f>
        <v>886.84313999999995</v>
      </c>
      <c r="E8" s="11">
        <f>Inputs!N10</f>
        <v>714.03588300000001</v>
      </c>
      <c r="F8" s="11">
        <f>Inputs!O10</f>
        <v>898.653592</v>
      </c>
      <c r="G8" s="11">
        <f>Inputs!P10</f>
        <v>1034.9797189999999</v>
      </c>
      <c r="H8" s="11">
        <f>Inputs!Q10</f>
        <v>1131.351793</v>
      </c>
      <c r="J8" s="2"/>
      <c r="K8" s="2"/>
      <c r="L8" s="2"/>
      <c r="M8" s="2"/>
      <c r="N8" s="2"/>
    </row>
    <row r="9" spans="2:14" ht="28.5" customHeight="1" x14ac:dyDescent="0.4">
      <c r="B9" s="10" t="s">
        <v>2</v>
      </c>
      <c r="C9" s="16">
        <f>Inputs!L11</f>
        <v>67.692655000000002</v>
      </c>
      <c r="D9" s="16">
        <f>Inputs!M11</f>
        <v>72.188817999999998</v>
      </c>
      <c r="E9" s="16">
        <f>Inputs!N11</f>
        <v>34.543571</v>
      </c>
      <c r="F9" s="16">
        <f>Inputs!O11</f>
        <v>26.629435999999998</v>
      </c>
      <c r="G9" s="16">
        <f>Inputs!P11</f>
        <v>45.512656999999997</v>
      </c>
      <c r="H9" s="16">
        <f>Inputs!Q11</f>
        <v>85.762293999999997</v>
      </c>
      <c r="J9" s="2"/>
      <c r="K9" s="2"/>
      <c r="L9" s="2"/>
      <c r="M9" s="2"/>
      <c r="N9" s="2"/>
    </row>
    <row r="10" spans="2:14" ht="21.6" thickBot="1" x14ac:dyDescent="0.45">
      <c r="B10" s="9" t="s">
        <v>3</v>
      </c>
      <c r="C10" s="19">
        <f>Inputs!L12</f>
        <v>909.183671</v>
      </c>
      <c r="D10" s="19">
        <f>Inputs!M12</f>
        <v>959.03195800000003</v>
      </c>
      <c r="E10" s="19">
        <f>Inputs!N12</f>
        <v>748.57945400000006</v>
      </c>
      <c r="F10" s="19">
        <f>Inputs!O12</f>
        <v>925.28302799999994</v>
      </c>
      <c r="G10" s="19">
        <f>Inputs!P12</f>
        <v>1080.4923759999999</v>
      </c>
      <c r="H10" s="19">
        <f>Inputs!Q12</f>
        <v>1217.1140869999999</v>
      </c>
      <c r="J10" s="12"/>
      <c r="K10" s="12"/>
      <c r="L10" s="12"/>
      <c r="M10" s="12"/>
      <c r="N10" s="12"/>
    </row>
    <row r="11" spans="2:14" ht="15" thickTop="1" x14ac:dyDescent="0.3">
      <c r="J11" s="12"/>
      <c r="K11" s="12"/>
      <c r="L11" s="12"/>
      <c r="M11" s="12"/>
      <c r="N11" s="12"/>
    </row>
    <row r="19" spans="5:5" x14ac:dyDescent="0.3">
      <c r="E19" s="30"/>
    </row>
  </sheetData>
  <mergeCells count="1">
    <mergeCell ref="B4:H4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59999389629810485"/>
    <pageSetUpPr fitToPage="1"/>
  </sheetPr>
  <dimension ref="B4:N16"/>
  <sheetViews>
    <sheetView showGridLines="0" tabSelected="1" zoomScale="85" zoomScaleNormal="85" workbookViewId="0">
      <selection activeCell="D21" sqref="D21"/>
    </sheetView>
  </sheetViews>
  <sheetFormatPr defaultRowHeight="14.4" x14ac:dyDescent="0.3"/>
  <cols>
    <col min="2" max="2" width="23.44140625" customWidth="1"/>
    <col min="3" max="3" width="26.33203125" hidden="1" customWidth="1"/>
    <col min="4" max="8" width="26.33203125" bestFit="1" customWidth="1"/>
    <col min="10" max="14" width="15.33203125" bestFit="1" customWidth="1"/>
  </cols>
  <sheetData>
    <row r="4" spans="2:14" ht="23.4" x14ac:dyDescent="0.45">
      <c r="B4" s="31" t="s">
        <v>22</v>
      </c>
      <c r="C4" s="31"/>
      <c r="D4" s="31"/>
      <c r="E4" s="31"/>
      <c r="F4" s="31"/>
      <c r="G4" s="31"/>
      <c r="H4" s="31"/>
    </row>
    <row r="5" spans="2:14" ht="21.6" thickBot="1" x14ac:dyDescent="0.45">
      <c r="B5" s="8"/>
      <c r="C5" s="8"/>
      <c r="D5" s="8"/>
      <c r="E5" s="8"/>
      <c r="F5" s="8"/>
      <c r="G5" s="8"/>
      <c r="H5" s="8"/>
    </row>
    <row r="6" spans="2:14" ht="39.75" customHeight="1" thickBot="1" x14ac:dyDescent="0.45">
      <c r="B6" s="17" t="s">
        <v>21</v>
      </c>
      <c r="C6" s="18">
        <f>Revenue!C6</f>
        <v>2018</v>
      </c>
      <c r="D6" s="23">
        <f>Revenue!D6</f>
        <v>2019</v>
      </c>
      <c r="E6" s="23">
        <f>Revenue!E6</f>
        <v>2020</v>
      </c>
      <c r="F6" s="23">
        <f>Revenue!F6</f>
        <v>2021</v>
      </c>
      <c r="G6" s="23">
        <f>Revenue!G6</f>
        <v>2022</v>
      </c>
      <c r="H6" s="23">
        <f>Revenue!H6</f>
        <v>2023</v>
      </c>
      <c r="J6" s="2"/>
    </row>
    <row r="7" spans="2:14" ht="1.5" customHeight="1" x14ac:dyDescent="0.4">
      <c r="B7" s="8"/>
      <c r="C7" s="8"/>
      <c r="D7" s="8"/>
      <c r="E7" s="8"/>
      <c r="F7" s="8"/>
      <c r="G7" s="8"/>
      <c r="H7" s="8"/>
    </row>
    <row r="8" spans="2:14" ht="26.25" customHeight="1" x14ac:dyDescent="0.4">
      <c r="B8" s="10" t="s">
        <v>23</v>
      </c>
      <c r="C8" s="11">
        <f>Inputs!L29</f>
        <v>207.87982600000001</v>
      </c>
      <c r="D8" s="11">
        <f>Inputs!M29</f>
        <v>238.832708</v>
      </c>
      <c r="E8" s="11">
        <f>Inputs!N29</f>
        <v>237.50350599999999</v>
      </c>
      <c r="F8" s="11">
        <f>Inputs!O29</f>
        <v>230.514081</v>
      </c>
      <c r="G8" s="11">
        <f>Inputs!P29</f>
        <v>253.87787399999999</v>
      </c>
      <c r="H8" s="11">
        <f>Inputs!Q29</f>
        <v>290.71129100000002</v>
      </c>
      <c r="J8" s="2"/>
      <c r="K8" s="2"/>
      <c r="L8" s="2"/>
      <c r="M8" s="2"/>
      <c r="N8" s="2"/>
    </row>
    <row r="9" spans="2:14" ht="28.5" customHeight="1" x14ac:dyDescent="0.4">
      <c r="B9" s="10" t="s">
        <v>24</v>
      </c>
      <c r="C9" s="16">
        <f>Inputs!L30</f>
        <v>543.74919699999998</v>
      </c>
      <c r="D9" s="16">
        <f>Inputs!M30</f>
        <v>552.07406200000003</v>
      </c>
      <c r="E9" s="16">
        <f>Inputs!N30</f>
        <v>603.11364600000002</v>
      </c>
      <c r="F9" s="16">
        <f>Inputs!O30</f>
        <v>522.13550199999997</v>
      </c>
      <c r="G9" s="16">
        <f>Inputs!P30</f>
        <v>590.14390800000001</v>
      </c>
      <c r="H9" s="16">
        <f>Inputs!Q30</f>
        <v>645.23325399999999</v>
      </c>
      <c r="J9" s="2"/>
      <c r="K9" s="2"/>
      <c r="L9" s="2"/>
      <c r="M9" s="2"/>
      <c r="N9" s="2"/>
    </row>
    <row r="10" spans="2:14" ht="42.6" thickBot="1" x14ac:dyDescent="0.45">
      <c r="B10" s="20" t="s">
        <v>25</v>
      </c>
      <c r="C10" s="19">
        <f>Inputs!L31</f>
        <v>751.62902299999996</v>
      </c>
      <c r="D10" s="19">
        <f>Inputs!M31</f>
        <v>790.90677000000005</v>
      </c>
      <c r="E10" s="19">
        <f>Inputs!N31</f>
        <v>840.61715200000003</v>
      </c>
      <c r="F10" s="19">
        <f>Inputs!O31</f>
        <v>752.64958300000001</v>
      </c>
      <c r="G10" s="19">
        <f>Inputs!P31</f>
        <v>844.02178200000003</v>
      </c>
      <c r="H10" s="19">
        <f>Inputs!Q31</f>
        <v>935.94454499999995</v>
      </c>
      <c r="J10" s="12"/>
      <c r="K10" s="12"/>
      <c r="L10" s="12"/>
      <c r="M10" s="12"/>
      <c r="N10" s="12"/>
    </row>
    <row r="11" spans="2:14" ht="15" thickTop="1" x14ac:dyDescent="0.3">
      <c r="J11" s="12"/>
      <c r="K11" s="12"/>
      <c r="L11" s="12"/>
      <c r="M11" s="12"/>
      <c r="N11" s="12"/>
    </row>
    <row r="15" spans="2:14" x14ac:dyDescent="0.3">
      <c r="B15" t="s">
        <v>26</v>
      </c>
    </row>
    <row r="16" spans="2:14" x14ac:dyDescent="0.3">
      <c r="B16" t="s">
        <v>27</v>
      </c>
    </row>
  </sheetData>
  <mergeCells count="1">
    <mergeCell ref="B4:H4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"/>
  <sheetViews>
    <sheetView showGridLines="0" tabSelected="1" topLeftCell="A10" zoomScaleNormal="100" workbookViewId="0">
      <selection activeCell="D21" sqref="D21"/>
    </sheetView>
  </sheetViews>
  <sheetFormatPr defaultRowHeight="14.4" x14ac:dyDescent="0.3"/>
  <cols>
    <col min="2" max="2" width="23.44140625" bestFit="1" customWidth="1"/>
    <col min="3" max="6" width="26.33203125" bestFit="1" customWidth="1"/>
    <col min="7" max="7" width="11.5546875" customWidth="1"/>
    <col min="10" max="14" width="15.33203125" bestFit="1" customWidth="1"/>
  </cols>
  <sheetData/>
  <pageMargins left="0.7" right="0.7" top="0.75" bottom="0.75" header="0.3" footer="0.3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9" tint="0.59999389629810485"/>
    <pageSetUpPr fitToPage="1"/>
  </sheetPr>
  <dimension ref="H4:N12"/>
  <sheetViews>
    <sheetView showGridLines="0" tabSelected="1" zoomScaleNormal="100" workbookViewId="0">
      <selection activeCell="D21" sqref="D21"/>
    </sheetView>
  </sheetViews>
  <sheetFormatPr defaultRowHeight="14.4" x14ac:dyDescent="0.3"/>
  <cols>
    <col min="2" max="2" width="23.44140625" bestFit="1" customWidth="1"/>
    <col min="3" max="6" width="26.33203125" bestFit="1" customWidth="1"/>
    <col min="7" max="7" width="12.33203125" customWidth="1"/>
    <col min="10" max="14" width="15.33203125" bestFit="1" customWidth="1"/>
  </cols>
  <sheetData>
    <row r="4" spans="8:14" ht="21" x14ac:dyDescent="0.4">
      <c r="H4" s="8"/>
    </row>
    <row r="5" spans="8:14" ht="21" x14ac:dyDescent="0.4">
      <c r="H5" s="8"/>
    </row>
    <row r="6" spans="8:14" ht="21" x14ac:dyDescent="0.4">
      <c r="H6" s="8"/>
    </row>
    <row r="7" spans="8:14" ht="39.75" customHeight="1" x14ac:dyDescent="0.4">
      <c r="H7" s="8"/>
      <c r="J7" s="2"/>
    </row>
    <row r="8" spans="8:14" ht="1.5" customHeight="1" x14ac:dyDescent="0.4">
      <c r="H8" s="8"/>
    </row>
    <row r="9" spans="8:14" ht="26.25" customHeight="1" x14ac:dyDescent="0.4">
      <c r="H9" s="8"/>
      <c r="J9" s="2"/>
      <c r="K9" s="2"/>
      <c r="L9" s="2"/>
      <c r="M9" s="2"/>
      <c r="N9" s="2"/>
    </row>
    <row r="10" spans="8:14" ht="28.5" customHeight="1" x14ac:dyDescent="0.4">
      <c r="H10" s="8"/>
      <c r="J10" s="2"/>
      <c r="K10" s="2"/>
      <c r="L10" s="2"/>
      <c r="M10" s="2"/>
      <c r="N10" s="2"/>
    </row>
    <row r="11" spans="8:14" ht="21" x14ac:dyDescent="0.4">
      <c r="H11" s="8"/>
      <c r="J11" s="12"/>
      <c r="K11" s="12"/>
      <c r="L11" s="12"/>
      <c r="M11" s="12"/>
      <c r="N11" s="12"/>
    </row>
    <row r="12" spans="8:14" x14ac:dyDescent="0.3">
      <c r="J12" s="12"/>
      <c r="K12" s="12"/>
      <c r="L12" s="12"/>
      <c r="M12" s="12"/>
      <c r="N12" s="12"/>
    </row>
  </sheetData>
  <pageMargins left="0.7" right="0.7" top="0.75" bottom="0.75" header="0.3" footer="0.3"/>
  <pageSetup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0.59999389629810485"/>
    <pageSetUpPr fitToPage="1"/>
  </sheetPr>
  <dimension ref="H4:N12"/>
  <sheetViews>
    <sheetView showGridLines="0" tabSelected="1" workbookViewId="0">
      <selection activeCell="D21" sqref="D21"/>
    </sheetView>
  </sheetViews>
  <sheetFormatPr defaultRowHeight="14.4" x14ac:dyDescent="0.3"/>
  <cols>
    <col min="2" max="2" width="23.44140625" bestFit="1" customWidth="1"/>
    <col min="3" max="7" width="26.33203125" bestFit="1" customWidth="1"/>
    <col min="10" max="14" width="15.33203125" bestFit="1" customWidth="1"/>
  </cols>
  <sheetData>
    <row r="4" spans="8:14" ht="21" x14ac:dyDescent="0.4">
      <c r="H4" s="8"/>
    </row>
    <row r="5" spans="8:14" ht="21" x14ac:dyDescent="0.4">
      <c r="H5" s="8"/>
    </row>
    <row r="6" spans="8:14" ht="21" x14ac:dyDescent="0.4">
      <c r="H6" s="8"/>
    </row>
    <row r="7" spans="8:14" ht="39.75" customHeight="1" x14ac:dyDescent="0.4">
      <c r="H7" s="8"/>
      <c r="J7" s="2"/>
    </row>
    <row r="8" spans="8:14" ht="1.5" customHeight="1" x14ac:dyDescent="0.4">
      <c r="H8" s="8"/>
    </row>
    <row r="9" spans="8:14" ht="26.25" customHeight="1" x14ac:dyDescent="0.4">
      <c r="H9" s="8"/>
      <c r="J9" s="2"/>
      <c r="K9" s="2"/>
      <c r="L9" s="2"/>
      <c r="M9" s="2"/>
      <c r="N9" s="2"/>
    </row>
    <row r="10" spans="8:14" ht="28.5" customHeight="1" x14ac:dyDescent="0.4">
      <c r="H10" s="8"/>
      <c r="J10" s="2"/>
      <c r="K10" s="2"/>
      <c r="L10" s="2"/>
      <c r="M10" s="2"/>
      <c r="N10" s="2"/>
    </row>
    <row r="11" spans="8:14" ht="21" x14ac:dyDescent="0.4">
      <c r="H11" s="8"/>
      <c r="J11" s="12"/>
      <c r="K11" s="12"/>
      <c r="L11" s="12"/>
      <c r="M11" s="12"/>
      <c r="N11" s="12"/>
    </row>
    <row r="12" spans="8:14" x14ac:dyDescent="0.3">
      <c r="J12" s="12"/>
      <c r="K12" s="12"/>
      <c r="L12" s="12"/>
      <c r="M12" s="12"/>
      <c r="N12" s="12"/>
    </row>
  </sheetData>
  <pageMargins left="0.7" right="0.7" top="0.75" bottom="0.75" header="0.3" footer="0.3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0.59999389629810485"/>
    <pageSetUpPr fitToPage="1"/>
  </sheetPr>
  <dimension ref="H4:N12"/>
  <sheetViews>
    <sheetView showGridLines="0" tabSelected="1" workbookViewId="0">
      <selection activeCell="D21" sqref="D21"/>
    </sheetView>
  </sheetViews>
  <sheetFormatPr defaultRowHeight="14.4" x14ac:dyDescent="0.3"/>
  <cols>
    <col min="2" max="2" width="23.44140625" bestFit="1" customWidth="1"/>
    <col min="3" max="7" width="26.33203125" bestFit="1" customWidth="1"/>
    <col min="10" max="14" width="15.33203125" bestFit="1" customWidth="1"/>
  </cols>
  <sheetData>
    <row r="4" spans="8:14" ht="21" x14ac:dyDescent="0.4">
      <c r="H4" s="8"/>
    </row>
    <row r="5" spans="8:14" ht="21" x14ac:dyDescent="0.4">
      <c r="H5" s="8"/>
    </row>
    <row r="6" spans="8:14" ht="21" x14ac:dyDescent="0.4">
      <c r="H6" s="8"/>
    </row>
    <row r="7" spans="8:14" ht="39.75" customHeight="1" x14ac:dyDescent="0.4">
      <c r="H7" s="8"/>
      <c r="J7" s="2"/>
    </row>
    <row r="8" spans="8:14" ht="1.5" customHeight="1" x14ac:dyDescent="0.4">
      <c r="H8" s="8"/>
    </row>
    <row r="9" spans="8:14" ht="26.25" customHeight="1" x14ac:dyDescent="0.4">
      <c r="H9" s="8"/>
      <c r="J9" s="2"/>
      <c r="K9" s="2"/>
      <c r="L9" s="2"/>
      <c r="M9" s="2"/>
      <c r="N9" s="2"/>
    </row>
    <row r="10" spans="8:14" ht="28.5" customHeight="1" x14ac:dyDescent="0.4">
      <c r="H10" s="8"/>
      <c r="J10" s="2"/>
      <c r="K10" s="2"/>
      <c r="L10" s="2"/>
      <c r="M10" s="2"/>
      <c r="N10" s="2"/>
    </row>
    <row r="11" spans="8:14" ht="21" x14ac:dyDescent="0.4">
      <c r="H11" s="8"/>
      <c r="J11" s="12"/>
      <c r="K11" s="12"/>
      <c r="L11" s="12"/>
      <c r="M11" s="12"/>
      <c r="N11" s="12"/>
    </row>
    <row r="12" spans="8:14" x14ac:dyDescent="0.3">
      <c r="J12" s="12"/>
      <c r="K12" s="12"/>
      <c r="L12" s="12"/>
      <c r="M12" s="12"/>
      <c r="N12" s="12"/>
    </row>
  </sheetData>
  <pageMargins left="0.7" right="0.7" top="0.75" bottom="0.75" header="0.3" footer="0.3"/>
  <pageSetup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59999389629810485"/>
    <pageSetUpPr fitToPage="1"/>
  </sheetPr>
  <dimension ref="H4:N12"/>
  <sheetViews>
    <sheetView showGridLines="0" tabSelected="1" workbookViewId="0">
      <selection activeCell="D21" sqref="D21"/>
    </sheetView>
  </sheetViews>
  <sheetFormatPr defaultRowHeight="14.4" x14ac:dyDescent="0.3"/>
  <cols>
    <col min="2" max="2" width="23.44140625" bestFit="1" customWidth="1"/>
    <col min="3" max="7" width="26.33203125" bestFit="1" customWidth="1"/>
    <col min="10" max="14" width="15.33203125" bestFit="1" customWidth="1"/>
  </cols>
  <sheetData>
    <row r="4" spans="8:14" ht="21" x14ac:dyDescent="0.4">
      <c r="H4" s="8"/>
    </row>
    <row r="5" spans="8:14" ht="21" x14ac:dyDescent="0.4">
      <c r="H5" s="8"/>
    </row>
    <row r="6" spans="8:14" ht="21" x14ac:dyDescent="0.4">
      <c r="H6" s="8"/>
    </row>
    <row r="7" spans="8:14" ht="39.75" customHeight="1" x14ac:dyDescent="0.4">
      <c r="H7" s="8"/>
      <c r="J7" s="2"/>
    </row>
    <row r="8" spans="8:14" ht="1.5" customHeight="1" x14ac:dyDescent="0.4">
      <c r="H8" s="8"/>
    </row>
    <row r="9" spans="8:14" ht="26.25" customHeight="1" x14ac:dyDescent="0.4">
      <c r="H9" s="8"/>
      <c r="J9" s="2"/>
      <c r="K9" s="2"/>
      <c r="L9" s="2"/>
      <c r="M9" s="2"/>
      <c r="N9" s="2"/>
    </row>
    <row r="10" spans="8:14" ht="28.5" customHeight="1" x14ac:dyDescent="0.4">
      <c r="H10" s="8"/>
      <c r="J10" s="2"/>
      <c r="K10" s="2"/>
      <c r="L10" s="2"/>
      <c r="M10" s="2"/>
      <c r="N10" s="2"/>
    </row>
    <row r="11" spans="8:14" ht="21" x14ac:dyDescent="0.4">
      <c r="H11" s="8"/>
      <c r="J11" s="12"/>
      <c r="K11" s="12"/>
      <c r="L11" s="12"/>
      <c r="M11" s="12"/>
      <c r="N11" s="12"/>
    </row>
    <row r="12" spans="8:14" x14ac:dyDescent="0.3">
      <c r="J12" s="12"/>
      <c r="K12" s="12"/>
      <c r="L12" s="12"/>
      <c r="M12" s="12"/>
      <c r="N12" s="12"/>
    </row>
  </sheetData>
  <pageMargins left="0.7" right="0.7" top="0.75" bottom="0.75" header="0.3" footer="0.3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9" tint="0.59999389629810485"/>
    <pageSetUpPr fitToPage="1"/>
  </sheetPr>
  <dimension ref="H4:N12"/>
  <sheetViews>
    <sheetView showGridLines="0" tabSelected="1" workbookViewId="0">
      <selection activeCell="D21" sqref="D21"/>
    </sheetView>
  </sheetViews>
  <sheetFormatPr defaultRowHeight="14.4" x14ac:dyDescent="0.3"/>
  <cols>
    <col min="2" max="2" width="23.44140625" bestFit="1" customWidth="1"/>
    <col min="3" max="7" width="26.33203125" bestFit="1" customWidth="1"/>
    <col min="10" max="14" width="15.33203125" bestFit="1" customWidth="1"/>
  </cols>
  <sheetData>
    <row r="4" spans="8:14" ht="21" x14ac:dyDescent="0.4">
      <c r="H4" s="8"/>
    </row>
    <row r="5" spans="8:14" ht="21" x14ac:dyDescent="0.4">
      <c r="H5" s="8"/>
    </row>
    <row r="6" spans="8:14" ht="21" x14ac:dyDescent="0.4">
      <c r="H6" s="8"/>
    </row>
    <row r="7" spans="8:14" ht="39.75" customHeight="1" x14ac:dyDescent="0.4">
      <c r="H7" s="8"/>
      <c r="J7" s="2"/>
    </row>
    <row r="8" spans="8:14" ht="1.5" customHeight="1" x14ac:dyDescent="0.4">
      <c r="H8" s="8"/>
    </row>
    <row r="9" spans="8:14" ht="26.25" customHeight="1" x14ac:dyDescent="0.4">
      <c r="H9" s="8"/>
      <c r="J9" s="2"/>
      <c r="K9" s="2"/>
      <c r="L9" s="2"/>
      <c r="M9" s="2"/>
      <c r="N9" s="2"/>
    </row>
    <row r="10" spans="8:14" ht="28.5" customHeight="1" x14ac:dyDescent="0.4">
      <c r="H10" s="8"/>
      <c r="J10" s="2"/>
      <c r="K10" s="2"/>
      <c r="L10" s="2"/>
      <c r="M10" s="2"/>
      <c r="N10" s="2"/>
    </row>
    <row r="11" spans="8:14" ht="21" x14ac:dyDescent="0.4">
      <c r="H11" s="8"/>
      <c r="J11" s="12"/>
      <c r="K11" s="12"/>
      <c r="L11" s="12"/>
      <c r="M11" s="12"/>
      <c r="N11" s="12"/>
    </row>
    <row r="12" spans="8:14" x14ac:dyDescent="0.3">
      <c r="J12" s="12"/>
      <c r="K12" s="12"/>
      <c r="L12" s="12"/>
      <c r="M12" s="12"/>
      <c r="N12" s="12"/>
    </row>
  </sheetData>
  <pageMargins left="0.7" right="0.7" top="0.75" bottom="0.75" header="0.3" footer="0.3"/>
  <pageSetup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4:Q53"/>
  <sheetViews>
    <sheetView workbookViewId="0">
      <selection activeCell="I31" sqref="I31"/>
    </sheetView>
  </sheetViews>
  <sheetFormatPr defaultRowHeight="14.4" x14ac:dyDescent="0.3"/>
  <cols>
    <col min="1" max="1" width="12.5546875" bestFit="1" customWidth="1"/>
    <col min="2" max="2" width="19.88671875" customWidth="1"/>
    <col min="3" max="7" width="12.5546875" bestFit="1" customWidth="1"/>
    <col min="8" max="8" width="14.44140625" customWidth="1"/>
    <col min="9" max="9" width="14.33203125" bestFit="1" customWidth="1"/>
    <col min="10" max="10" width="11.5546875" bestFit="1" customWidth="1"/>
  </cols>
  <sheetData>
    <row r="4" spans="1:17" x14ac:dyDescent="0.3">
      <c r="A4" s="13" t="s">
        <v>20</v>
      </c>
    </row>
    <row r="5" spans="1:17" x14ac:dyDescent="0.3">
      <c r="A5" t="s">
        <v>19</v>
      </c>
    </row>
    <row r="6" spans="1:17" x14ac:dyDescent="0.3">
      <c r="A6" s="2">
        <v>1000000</v>
      </c>
    </row>
    <row r="8" spans="1:17" x14ac:dyDescent="0.3">
      <c r="A8" s="32" t="s">
        <v>18</v>
      </c>
      <c r="B8" s="32"/>
      <c r="C8" s="32"/>
      <c r="D8" s="32"/>
      <c r="E8" s="32"/>
      <c r="F8" s="32"/>
      <c r="G8" s="32"/>
      <c r="H8" s="32"/>
      <c r="I8" s="27"/>
    </row>
    <row r="9" spans="1:17" x14ac:dyDescent="0.3">
      <c r="A9" t="s">
        <v>0</v>
      </c>
      <c r="C9" s="25">
        <v>2017</v>
      </c>
      <c r="D9" s="25">
        <v>2018</v>
      </c>
      <c r="E9" s="25">
        <v>2019</v>
      </c>
      <c r="F9" s="25">
        <v>2020</v>
      </c>
      <c r="G9" s="25">
        <v>2021</v>
      </c>
      <c r="H9" s="25">
        <v>2022</v>
      </c>
      <c r="I9" s="25">
        <v>2023</v>
      </c>
      <c r="K9" s="25">
        <f>+C9</f>
        <v>2017</v>
      </c>
      <c r="L9" s="25">
        <f>+K9+1</f>
        <v>2018</v>
      </c>
      <c r="M9" s="25">
        <f t="shared" ref="M9:Q9" si="0">+L9+1</f>
        <v>2019</v>
      </c>
      <c r="N9" s="25">
        <f t="shared" si="0"/>
        <v>2020</v>
      </c>
      <c r="O9" s="25">
        <f t="shared" si="0"/>
        <v>2021</v>
      </c>
      <c r="P9" s="25">
        <f t="shared" si="0"/>
        <v>2022</v>
      </c>
      <c r="Q9" s="25">
        <f t="shared" si="0"/>
        <v>2023</v>
      </c>
    </row>
    <row r="10" spans="1:17" x14ac:dyDescent="0.3">
      <c r="B10" t="s">
        <v>1</v>
      </c>
      <c r="C10" s="2">
        <v>712551455</v>
      </c>
      <c r="D10" s="2">
        <v>841491016</v>
      </c>
      <c r="E10" s="5">
        <v>886843140</v>
      </c>
      <c r="F10" s="5">
        <v>714035883</v>
      </c>
      <c r="G10" s="5">
        <v>898653592</v>
      </c>
      <c r="H10" s="5">
        <v>1034979719</v>
      </c>
      <c r="I10" s="5">
        <v>1131351793</v>
      </c>
      <c r="K10" s="14">
        <f t="shared" ref="K10:Q10" si="1">C10/$A$6</f>
        <v>712.55145500000003</v>
      </c>
      <c r="L10" s="14">
        <f t="shared" si="1"/>
        <v>841.49101599999995</v>
      </c>
      <c r="M10" s="14">
        <f t="shared" si="1"/>
        <v>886.84313999999995</v>
      </c>
      <c r="N10" s="14">
        <f t="shared" si="1"/>
        <v>714.03588300000001</v>
      </c>
      <c r="O10" s="14">
        <f t="shared" si="1"/>
        <v>898.653592</v>
      </c>
      <c r="P10" s="14">
        <f t="shared" si="1"/>
        <v>1034.9797189999999</v>
      </c>
      <c r="Q10" s="14">
        <f t="shared" si="1"/>
        <v>1131.351793</v>
      </c>
    </row>
    <row r="11" spans="1:17" x14ac:dyDescent="0.3">
      <c r="B11" s="1" t="s">
        <v>2</v>
      </c>
      <c r="C11" s="3">
        <v>49612968</v>
      </c>
      <c r="D11" s="3">
        <v>67692655</v>
      </c>
      <c r="E11" s="6">
        <v>72188818</v>
      </c>
      <c r="F11" s="6">
        <v>34543571</v>
      </c>
      <c r="G11" s="6">
        <v>26629436</v>
      </c>
      <c r="H11" s="6">
        <v>45512657</v>
      </c>
      <c r="I11" s="6">
        <v>85762294</v>
      </c>
      <c r="K11" s="15">
        <f>C11/$A$6</f>
        <v>49.612968000000002</v>
      </c>
      <c r="L11" s="15">
        <f t="shared" ref="L11:L12" si="2">D11/$A$6</f>
        <v>67.692655000000002</v>
      </c>
      <c r="M11" s="15">
        <f t="shared" ref="M11:M12" si="3">E11/$A$6</f>
        <v>72.188817999999998</v>
      </c>
      <c r="N11" s="15">
        <f t="shared" ref="N11:N12" si="4">F11/$A$6</f>
        <v>34.543571</v>
      </c>
      <c r="O11" s="15">
        <f t="shared" ref="O11:Q12" si="5">G11/$A$6</f>
        <v>26.629435999999998</v>
      </c>
      <c r="P11" s="15">
        <f t="shared" si="5"/>
        <v>45.512656999999997</v>
      </c>
      <c r="Q11" s="15">
        <f t="shared" si="5"/>
        <v>85.762293999999997</v>
      </c>
    </row>
    <row r="12" spans="1:17" x14ac:dyDescent="0.3">
      <c r="B12" t="s">
        <v>3</v>
      </c>
      <c r="C12" s="2">
        <f t="shared" ref="C12:F12" si="6">SUM(C10:C11)</f>
        <v>762164423</v>
      </c>
      <c r="D12" s="2">
        <f t="shared" si="6"/>
        <v>909183671</v>
      </c>
      <c r="E12" s="2">
        <f t="shared" si="6"/>
        <v>959031958</v>
      </c>
      <c r="F12" s="2">
        <f t="shared" si="6"/>
        <v>748579454</v>
      </c>
      <c r="G12" s="2">
        <f t="shared" ref="G12" si="7">SUM(G10:G11)</f>
        <v>925283028</v>
      </c>
      <c r="H12" s="2">
        <f>SUM(H10:H11)</f>
        <v>1080492376</v>
      </c>
      <c r="I12" s="2">
        <f>SUM(I10:I11)</f>
        <v>1217114087</v>
      </c>
      <c r="K12" s="14">
        <f>C12/$A$6</f>
        <v>762.16442300000006</v>
      </c>
      <c r="L12" s="14">
        <f t="shared" si="2"/>
        <v>909.183671</v>
      </c>
      <c r="M12" s="14">
        <f t="shared" si="3"/>
        <v>959.03195800000003</v>
      </c>
      <c r="N12" s="14">
        <f t="shared" si="4"/>
        <v>748.57945400000006</v>
      </c>
      <c r="O12" s="14">
        <f t="shared" si="5"/>
        <v>925.28302799999994</v>
      </c>
      <c r="P12" s="14">
        <f t="shared" si="5"/>
        <v>1080.4923759999999</v>
      </c>
      <c r="Q12" s="14">
        <f t="shared" si="5"/>
        <v>1217.1140869999999</v>
      </c>
    </row>
    <row r="13" spans="1:17" x14ac:dyDescent="0.3">
      <c r="A13" s="33" t="s">
        <v>17</v>
      </c>
      <c r="B13" s="33"/>
      <c r="C13" s="33"/>
      <c r="D13" s="33"/>
      <c r="E13" s="33"/>
      <c r="F13" s="33"/>
      <c r="G13" s="33"/>
      <c r="H13" s="27"/>
      <c r="I13" s="27"/>
    </row>
    <row r="14" spans="1:17" x14ac:dyDescent="0.3">
      <c r="A14" t="s">
        <v>0</v>
      </c>
      <c r="C14" s="25">
        <f>+C9</f>
        <v>2017</v>
      </c>
      <c r="D14" s="25">
        <f t="shared" ref="D14:H14" si="8">+D9</f>
        <v>2018</v>
      </c>
      <c r="E14" s="25">
        <f t="shared" si="8"/>
        <v>2019</v>
      </c>
      <c r="F14" s="25">
        <f t="shared" si="8"/>
        <v>2020</v>
      </c>
      <c r="G14" s="25">
        <f t="shared" si="8"/>
        <v>2021</v>
      </c>
      <c r="H14" s="25">
        <f t="shared" si="8"/>
        <v>2022</v>
      </c>
      <c r="I14" s="25">
        <f t="shared" ref="I14" si="9">+I9</f>
        <v>2023</v>
      </c>
    </row>
    <row r="15" spans="1:17" x14ac:dyDescent="0.3">
      <c r="B15" t="s">
        <v>1</v>
      </c>
      <c r="C15" s="2">
        <v>703865300</v>
      </c>
      <c r="D15" s="2">
        <v>843189300</v>
      </c>
      <c r="E15" s="5">
        <v>886656100</v>
      </c>
      <c r="F15" s="5">
        <v>814193900</v>
      </c>
      <c r="G15" s="5">
        <v>786903700</v>
      </c>
      <c r="H15" s="5">
        <v>954195800</v>
      </c>
      <c r="I15" s="5">
        <v>1045777500</v>
      </c>
      <c r="K15" s="14">
        <f>C15/$A$6</f>
        <v>703.86530000000005</v>
      </c>
      <c r="L15" s="14">
        <f t="shared" ref="L15" si="10">D15/$A$6</f>
        <v>843.1893</v>
      </c>
      <c r="M15" s="14">
        <f t="shared" ref="M15" si="11">E15/$A$6</f>
        <v>886.65610000000004</v>
      </c>
      <c r="N15" s="14">
        <f t="shared" ref="N15" si="12">F15/$A$6</f>
        <v>814.19389999999999</v>
      </c>
      <c r="O15" s="14">
        <f t="shared" ref="O15:Q17" si="13">G15/$A$6</f>
        <v>786.90369999999996</v>
      </c>
      <c r="P15" s="14">
        <f t="shared" si="13"/>
        <v>954.19579999999996</v>
      </c>
      <c r="Q15" s="14">
        <f t="shared" si="13"/>
        <v>1045.7774999999999</v>
      </c>
    </row>
    <row r="16" spans="1:17" x14ac:dyDescent="0.3">
      <c r="B16" s="1" t="s">
        <v>2</v>
      </c>
      <c r="C16" s="3">
        <v>31223115</v>
      </c>
      <c r="D16" s="3">
        <v>57344963</v>
      </c>
      <c r="E16" s="6">
        <v>63582700</v>
      </c>
      <c r="F16" s="6">
        <f>114148700+68435000</f>
        <v>182583700</v>
      </c>
      <c r="G16" s="6">
        <f>15000000+27300000</f>
        <v>42300000</v>
      </c>
      <c r="H16" s="6">
        <v>47843150</v>
      </c>
      <c r="I16" s="6">
        <v>53598225</v>
      </c>
      <c r="K16" s="15">
        <f>C16/$A$6</f>
        <v>31.223115</v>
      </c>
      <c r="L16" s="15">
        <f t="shared" ref="L16" si="14">D16/$A$6</f>
        <v>57.344963</v>
      </c>
      <c r="M16" s="15">
        <f t="shared" ref="M16" si="15">E16/$A$6</f>
        <v>63.582700000000003</v>
      </c>
      <c r="N16" s="15">
        <f t="shared" ref="N16" si="16">F16/$A$6</f>
        <v>182.58369999999999</v>
      </c>
      <c r="O16" s="15">
        <f t="shared" si="13"/>
        <v>42.3</v>
      </c>
      <c r="P16" s="15">
        <f t="shared" si="13"/>
        <v>47.843150000000001</v>
      </c>
      <c r="Q16" s="15">
        <f t="shared" si="13"/>
        <v>53.598224999999999</v>
      </c>
    </row>
    <row r="17" spans="1:17" x14ac:dyDescent="0.3">
      <c r="B17" t="s">
        <v>3</v>
      </c>
      <c r="C17" s="2">
        <f>SUM(C15:C16)</f>
        <v>735088415</v>
      </c>
      <c r="D17" s="2">
        <f t="shared" ref="D17:H17" si="17">SUM(D15:D16)</f>
        <v>900534263</v>
      </c>
      <c r="E17" s="2">
        <f t="shared" si="17"/>
        <v>950238800</v>
      </c>
      <c r="F17" s="2">
        <f t="shared" si="17"/>
        <v>996777600</v>
      </c>
      <c r="G17" s="2">
        <f t="shared" si="17"/>
        <v>829203700</v>
      </c>
      <c r="H17" s="2">
        <f t="shared" si="17"/>
        <v>1002038950</v>
      </c>
      <c r="I17" s="2">
        <f t="shared" ref="I17" si="18">SUM(I15:I16)</f>
        <v>1099375725</v>
      </c>
      <c r="K17" s="14">
        <f>C17/$A$6</f>
        <v>735.08841500000005</v>
      </c>
      <c r="L17" s="14">
        <f t="shared" ref="L17" si="19">D17/$A$6</f>
        <v>900.53426300000001</v>
      </c>
      <c r="M17" s="14">
        <f t="shared" ref="M17" si="20">E17/$A$6</f>
        <v>950.23879999999997</v>
      </c>
      <c r="N17" s="14">
        <f t="shared" ref="N17" si="21">F17/$A$6</f>
        <v>996.77760000000001</v>
      </c>
      <c r="O17" s="14">
        <f t="shared" si="13"/>
        <v>829.20370000000003</v>
      </c>
      <c r="P17" s="14">
        <f t="shared" si="13"/>
        <v>1002.03895</v>
      </c>
      <c r="Q17" s="14">
        <f t="shared" si="13"/>
        <v>1099.3757250000001</v>
      </c>
    </row>
    <row r="21" spans="1:17" x14ac:dyDescent="0.3">
      <c r="A21" s="34" t="s">
        <v>8</v>
      </c>
      <c r="B21" s="34"/>
      <c r="C21" s="34"/>
      <c r="D21" s="34"/>
      <c r="E21" s="34"/>
      <c r="F21" s="34"/>
      <c r="G21" s="34"/>
      <c r="H21" s="34"/>
      <c r="I21" s="29"/>
    </row>
    <row r="22" spans="1:17" x14ac:dyDescent="0.3">
      <c r="A22" t="s">
        <v>0</v>
      </c>
      <c r="C22" s="25">
        <f>C9</f>
        <v>2017</v>
      </c>
      <c r="D22" s="25">
        <f t="shared" ref="D22:H22" si="22">D9</f>
        <v>2018</v>
      </c>
      <c r="E22" s="25">
        <f t="shared" si="22"/>
        <v>2019</v>
      </c>
      <c r="F22" s="25">
        <f t="shared" si="22"/>
        <v>2020</v>
      </c>
      <c r="G22" s="25">
        <f t="shared" si="22"/>
        <v>2021</v>
      </c>
      <c r="H22" s="25">
        <f t="shared" si="22"/>
        <v>2022</v>
      </c>
      <c r="I22" s="25">
        <f t="shared" ref="I22" si="23">I9</f>
        <v>2023</v>
      </c>
    </row>
    <row r="23" spans="1:17" x14ac:dyDescent="0.3">
      <c r="B23" t="s">
        <v>9</v>
      </c>
      <c r="C23" s="2">
        <v>723247591</v>
      </c>
      <c r="D23" s="5">
        <v>827610415</v>
      </c>
      <c r="E23" s="5">
        <v>847392583</v>
      </c>
      <c r="F23" s="5">
        <v>650219349</v>
      </c>
      <c r="G23" s="5">
        <v>810083028</v>
      </c>
      <c r="H23" s="5">
        <v>877256430</v>
      </c>
      <c r="I23" s="5">
        <v>930931745</v>
      </c>
      <c r="J23" s="26"/>
    </row>
    <row r="24" spans="1:17" x14ac:dyDescent="0.3">
      <c r="B24" t="s">
        <v>10</v>
      </c>
      <c r="C24" s="2">
        <v>724138400</v>
      </c>
      <c r="D24" s="2">
        <v>833537600</v>
      </c>
      <c r="E24" s="2">
        <v>847833400</v>
      </c>
      <c r="F24" s="2">
        <v>871574300</v>
      </c>
      <c r="G24" s="2">
        <v>737914000</v>
      </c>
      <c r="H24" s="2">
        <v>865230900</v>
      </c>
      <c r="I24" s="2">
        <v>911727200</v>
      </c>
    </row>
    <row r="27" spans="1:17" x14ac:dyDescent="0.3">
      <c r="A27" s="32" t="s">
        <v>7</v>
      </c>
      <c r="B27" s="32"/>
      <c r="C27" s="32"/>
      <c r="D27" s="32"/>
      <c r="E27" s="32"/>
      <c r="F27" s="32"/>
      <c r="G27" s="32"/>
      <c r="H27" s="32"/>
      <c r="I27" s="27"/>
    </row>
    <row r="28" spans="1:17" x14ac:dyDescent="0.3">
      <c r="A28" t="s">
        <v>0</v>
      </c>
      <c r="C28" s="25">
        <f>+C22</f>
        <v>2017</v>
      </c>
      <c r="D28" s="25">
        <f t="shared" ref="D28:H28" si="24">+D22</f>
        <v>2018</v>
      </c>
      <c r="E28" s="25">
        <f t="shared" si="24"/>
        <v>2019</v>
      </c>
      <c r="F28" s="25">
        <f t="shared" si="24"/>
        <v>2020</v>
      </c>
      <c r="G28" s="25">
        <f t="shared" si="24"/>
        <v>2021</v>
      </c>
      <c r="H28" s="25">
        <f t="shared" si="24"/>
        <v>2022</v>
      </c>
      <c r="I28" s="25">
        <f t="shared" ref="I28" si="25">+I22</f>
        <v>2023</v>
      </c>
      <c r="K28" s="25">
        <f>+K9</f>
        <v>2017</v>
      </c>
      <c r="L28" s="25">
        <f t="shared" ref="L28:P28" si="26">+L9</f>
        <v>2018</v>
      </c>
      <c r="M28" s="25">
        <f t="shared" si="26"/>
        <v>2019</v>
      </c>
      <c r="N28" s="25">
        <f t="shared" si="26"/>
        <v>2020</v>
      </c>
      <c r="O28" s="25">
        <f t="shared" si="26"/>
        <v>2021</v>
      </c>
      <c r="P28" s="25">
        <f t="shared" si="26"/>
        <v>2022</v>
      </c>
      <c r="Q28" s="25">
        <f t="shared" ref="Q28" si="27">+Q9</f>
        <v>2023</v>
      </c>
    </row>
    <row r="29" spans="1:17" x14ac:dyDescent="0.3">
      <c r="B29" t="s">
        <v>4</v>
      </c>
      <c r="C29" s="5">
        <v>215003883</v>
      </c>
      <c r="D29" s="5">
        <v>207879826</v>
      </c>
      <c r="E29" s="5">
        <f>283077822-44245114</f>
        <v>238832708</v>
      </c>
      <c r="F29" s="5">
        <f>272009163-34505657</f>
        <v>237503506</v>
      </c>
      <c r="G29" s="5">
        <f>303885356-7177019-66194256</f>
        <v>230514081</v>
      </c>
      <c r="H29" s="5">
        <f>340344158-73294282-13172002</f>
        <v>253877874</v>
      </c>
      <c r="I29" s="5">
        <f>411264268-110858844-9694133</f>
        <v>290711291</v>
      </c>
      <c r="K29" s="21">
        <f>C29/$A$6</f>
        <v>215.003883</v>
      </c>
      <c r="L29" s="21">
        <f t="shared" ref="L29:Q29" si="28">D29/$A$6</f>
        <v>207.87982600000001</v>
      </c>
      <c r="M29" s="21">
        <f t="shared" si="28"/>
        <v>238.832708</v>
      </c>
      <c r="N29" s="21">
        <f t="shared" si="28"/>
        <v>237.50350599999999</v>
      </c>
      <c r="O29" s="21">
        <f t="shared" si="28"/>
        <v>230.514081</v>
      </c>
      <c r="P29" s="21">
        <f t="shared" si="28"/>
        <v>253.87787399999999</v>
      </c>
      <c r="Q29" s="21">
        <f t="shared" si="28"/>
        <v>290.71129100000002</v>
      </c>
    </row>
    <row r="30" spans="1:17" x14ac:dyDescent="0.3">
      <c r="B30" s="1" t="s">
        <v>5</v>
      </c>
      <c r="C30" s="6">
        <v>413853369</v>
      </c>
      <c r="D30" s="6">
        <v>543749197</v>
      </c>
      <c r="E30" s="6">
        <v>552074062</v>
      </c>
      <c r="F30" s="6">
        <v>603113646</v>
      </c>
      <c r="G30" s="6">
        <v>522135502</v>
      </c>
      <c r="H30" s="6">
        <v>590143908</v>
      </c>
      <c r="I30" s="6">
        <v>645233254</v>
      </c>
      <c r="K30" s="22">
        <f>C30/$A$6</f>
        <v>413.85336899999999</v>
      </c>
      <c r="L30" s="22">
        <f t="shared" ref="L30:L31" si="29">D30/$A$6</f>
        <v>543.74919699999998</v>
      </c>
      <c r="M30" s="22">
        <f t="shared" ref="M30:M31" si="30">E30/$A$6</f>
        <v>552.07406200000003</v>
      </c>
      <c r="N30" s="22">
        <f t="shared" ref="N30:N31" si="31">F30/$A$6</f>
        <v>603.11364600000002</v>
      </c>
      <c r="O30" s="22">
        <f t="shared" ref="O30:Q31" si="32">G30/$A$6</f>
        <v>522.13550199999997</v>
      </c>
      <c r="P30" s="22">
        <f t="shared" si="32"/>
        <v>590.14390800000001</v>
      </c>
      <c r="Q30" s="22">
        <f t="shared" si="32"/>
        <v>645.23325399999999</v>
      </c>
    </row>
    <row r="31" spans="1:17" x14ac:dyDescent="0.3">
      <c r="B31" t="s">
        <v>6</v>
      </c>
      <c r="C31" s="2">
        <f>SUM(C29:C30)</f>
        <v>628857252</v>
      </c>
      <c r="D31" s="2">
        <f t="shared" ref="D31:H31" si="33">SUM(D29:D30)</f>
        <v>751629023</v>
      </c>
      <c r="E31" s="2">
        <f t="shared" si="33"/>
        <v>790906770</v>
      </c>
      <c r="F31" s="2">
        <f t="shared" si="33"/>
        <v>840617152</v>
      </c>
      <c r="G31" s="5">
        <f t="shared" si="33"/>
        <v>752649583</v>
      </c>
      <c r="H31" s="5">
        <f t="shared" si="33"/>
        <v>844021782</v>
      </c>
      <c r="I31" s="5">
        <f t="shared" ref="I31" si="34">SUM(I29:I30)</f>
        <v>935944545</v>
      </c>
      <c r="K31" s="21">
        <f>C31/$A$6</f>
        <v>628.85725200000002</v>
      </c>
      <c r="L31" s="21">
        <f t="shared" si="29"/>
        <v>751.62902299999996</v>
      </c>
      <c r="M31" s="21">
        <f t="shared" si="30"/>
        <v>790.90677000000005</v>
      </c>
      <c r="N31" s="21">
        <f t="shared" si="31"/>
        <v>840.61715200000003</v>
      </c>
      <c r="O31" s="21">
        <f t="shared" si="32"/>
        <v>752.64958300000001</v>
      </c>
      <c r="P31" s="21">
        <f t="shared" si="32"/>
        <v>844.02178200000003</v>
      </c>
      <c r="Q31" s="21">
        <f t="shared" si="32"/>
        <v>935.94454499999995</v>
      </c>
    </row>
    <row r="33" spans="1:11" x14ac:dyDescent="0.3">
      <c r="G33" s="4"/>
    </row>
    <row r="34" spans="1:11" x14ac:dyDescent="0.3">
      <c r="G34" s="28"/>
    </row>
    <row r="35" spans="1:11" x14ac:dyDescent="0.3">
      <c r="A35" s="32" t="s">
        <v>11</v>
      </c>
      <c r="B35" s="32"/>
      <c r="C35" s="32"/>
      <c r="D35" s="32"/>
      <c r="E35" s="32"/>
      <c r="F35" s="32"/>
      <c r="G35" s="32"/>
      <c r="H35" s="32"/>
      <c r="I35" s="27"/>
    </row>
    <row r="36" spans="1:11" x14ac:dyDescent="0.3">
      <c r="C36" s="25">
        <f>+C22</f>
        <v>2017</v>
      </c>
      <c r="D36" s="25">
        <f t="shared" ref="D36:H36" si="35">+D22</f>
        <v>2018</v>
      </c>
      <c r="E36" s="25">
        <f t="shared" si="35"/>
        <v>2019</v>
      </c>
      <c r="F36" s="25">
        <f t="shared" si="35"/>
        <v>2020</v>
      </c>
      <c r="G36" s="25">
        <f t="shared" si="35"/>
        <v>2021</v>
      </c>
      <c r="H36" s="25">
        <f t="shared" si="35"/>
        <v>2022</v>
      </c>
      <c r="I36" s="25">
        <f t="shared" ref="I36" si="36">+I22</f>
        <v>2023</v>
      </c>
    </row>
    <row r="37" spans="1:11" x14ac:dyDescent="0.3">
      <c r="B37" t="s">
        <v>15</v>
      </c>
      <c r="C37" s="2">
        <v>759</v>
      </c>
      <c r="D37" s="2">
        <v>757</v>
      </c>
      <c r="E37" s="2">
        <v>815</v>
      </c>
      <c r="F37" s="2">
        <v>719</v>
      </c>
      <c r="G37" s="2">
        <v>644</v>
      </c>
      <c r="H37" s="2">
        <v>709</v>
      </c>
      <c r="I37" s="2">
        <v>765</v>
      </c>
    </row>
    <row r="40" spans="1:11" x14ac:dyDescent="0.3">
      <c r="A40" s="33" t="s">
        <v>12</v>
      </c>
      <c r="B40" s="33"/>
      <c r="C40" s="33"/>
      <c r="D40" s="33"/>
      <c r="E40" s="33"/>
      <c r="F40" s="33"/>
      <c r="G40" s="33"/>
      <c r="H40" s="27"/>
      <c r="I40" s="27"/>
    </row>
    <row r="41" spans="1:11" x14ac:dyDescent="0.3">
      <c r="C41" s="25">
        <f>+C36</f>
        <v>2017</v>
      </c>
      <c r="D41" s="25">
        <f t="shared" ref="D41:H41" si="37">+D36</f>
        <v>2018</v>
      </c>
      <c r="E41" s="25">
        <f t="shared" si="37"/>
        <v>2019</v>
      </c>
      <c r="F41" s="25">
        <f t="shared" si="37"/>
        <v>2020</v>
      </c>
      <c r="G41" s="25">
        <f t="shared" si="37"/>
        <v>2021</v>
      </c>
      <c r="H41" s="25">
        <f t="shared" si="37"/>
        <v>2022</v>
      </c>
      <c r="I41" s="25">
        <f t="shared" ref="I41" si="38">+I36</f>
        <v>2023</v>
      </c>
    </row>
    <row r="42" spans="1:11" x14ac:dyDescent="0.3">
      <c r="B42" t="s">
        <v>12</v>
      </c>
      <c r="C42" s="2">
        <v>4999897</v>
      </c>
      <c r="D42" s="5">
        <v>5683840</v>
      </c>
      <c r="E42" s="5">
        <v>5930349</v>
      </c>
      <c r="F42" s="5">
        <v>5953519</v>
      </c>
      <c r="G42" s="5">
        <v>6098972</v>
      </c>
      <c r="H42" s="5">
        <v>6520065</v>
      </c>
      <c r="I42" s="5">
        <v>7005276</v>
      </c>
      <c r="K42" s="26"/>
    </row>
    <row r="45" spans="1:11" x14ac:dyDescent="0.3">
      <c r="A45" s="32" t="s">
        <v>13</v>
      </c>
      <c r="B45" s="32"/>
      <c r="C45" s="32"/>
      <c r="D45" s="32"/>
      <c r="E45" s="32"/>
      <c r="F45" s="32"/>
      <c r="G45" s="32"/>
      <c r="H45" s="32"/>
      <c r="I45" s="27"/>
    </row>
    <row r="46" spans="1:11" x14ac:dyDescent="0.3">
      <c r="B46" t="s">
        <v>13</v>
      </c>
      <c r="C46" s="25">
        <f>+C36</f>
        <v>2017</v>
      </c>
      <c r="D46" s="25">
        <f t="shared" ref="D46:H46" si="39">+D36</f>
        <v>2018</v>
      </c>
      <c r="E46" s="25">
        <f t="shared" si="39"/>
        <v>2019</v>
      </c>
      <c r="F46" s="25">
        <f t="shared" si="39"/>
        <v>2020</v>
      </c>
      <c r="G46" s="25">
        <f t="shared" si="39"/>
        <v>2021</v>
      </c>
      <c r="H46" s="25">
        <f t="shared" si="39"/>
        <v>2022</v>
      </c>
      <c r="I46" s="25">
        <f t="shared" ref="I46" si="40">+I36</f>
        <v>2023</v>
      </c>
    </row>
    <row r="47" spans="1:11" x14ac:dyDescent="0.3">
      <c r="B47" t="s">
        <v>16</v>
      </c>
      <c r="C47" s="4">
        <v>1.49</v>
      </c>
      <c r="D47" s="7">
        <v>1.37</v>
      </c>
      <c r="E47" s="7">
        <v>1.42</v>
      </c>
      <c r="F47" s="7">
        <v>1.28</v>
      </c>
      <c r="G47" s="7">
        <v>1.43</v>
      </c>
      <c r="H47" s="7">
        <v>1.49</v>
      </c>
      <c r="I47" s="7">
        <v>1.57</v>
      </c>
    </row>
    <row r="50" spans="1:9" x14ac:dyDescent="0.3">
      <c r="A50" s="32" t="s">
        <v>14</v>
      </c>
      <c r="B50" s="32"/>
      <c r="C50" s="32"/>
      <c r="D50" s="32"/>
      <c r="E50" s="32"/>
      <c r="F50" s="32"/>
      <c r="G50" s="32"/>
      <c r="H50" s="32"/>
      <c r="I50" s="27"/>
    </row>
    <row r="51" spans="1:9" x14ac:dyDescent="0.3">
      <c r="C51" s="25">
        <f>+C36</f>
        <v>2017</v>
      </c>
      <c r="D51" s="25">
        <f t="shared" ref="D51:H51" si="41">+D36</f>
        <v>2018</v>
      </c>
      <c r="E51" s="25">
        <f t="shared" si="41"/>
        <v>2019</v>
      </c>
      <c r="F51" s="25">
        <f t="shared" si="41"/>
        <v>2020</v>
      </c>
      <c r="G51" s="25">
        <f t="shared" si="41"/>
        <v>2021</v>
      </c>
      <c r="H51" s="25">
        <f t="shared" si="41"/>
        <v>2022</v>
      </c>
      <c r="I51" s="25">
        <f t="shared" ref="I51" si="42">+I36</f>
        <v>2023</v>
      </c>
    </row>
    <row r="52" spans="1:9" x14ac:dyDescent="0.3">
      <c r="B52" t="s">
        <v>14</v>
      </c>
      <c r="C52" s="2">
        <v>950</v>
      </c>
      <c r="D52" s="2">
        <v>995</v>
      </c>
      <c r="E52" s="2">
        <v>1084</v>
      </c>
      <c r="F52" s="2">
        <v>1089</v>
      </c>
      <c r="G52" s="2">
        <v>1158</v>
      </c>
      <c r="H52" s="2">
        <v>1188</v>
      </c>
      <c r="I52" s="2">
        <v>1194</v>
      </c>
    </row>
    <row r="53" spans="1:9" x14ac:dyDescent="0.3">
      <c r="G53" s="26"/>
      <c r="H53" s="26"/>
      <c r="I53" s="26"/>
    </row>
  </sheetData>
  <mergeCells count="8">
    <mergeCell ref="A45:H45"/>
    <mergeCell ref="A50:H50"/>
    <mergeCell ref="A40:G40"/>
    <mergeCell ref="A13:G13"/>
    <mergeCell ref="A8:H8"/>
    <mergeCell ref="A21:H21"/>
    <mergeCell ref="A27:H27"/>
    <mergeCell ref="A35:H3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DCCFDA0004CE469F3B1D706C2FB9B1" ma:contentTypeVersion="9" ma:contentTypeDescription="Create a new document." ma:contentTypeScope="" ma:versionID="3c96e081b1c34b62d98c44bbb4856629">
  <xsd:schema xmlns:xsd="http://www.w3.org/2001/XMLSchema" xmlns:xs="http://www.w3.org/2001/XMLSchema" xmlns:p="http://schemas.microsoft.com/office/2006/metadata/properties" xmlns:ns3="e3f6ec3a-4b2d-4cb2-aea2-b243bfb51b8f" targetNamespace="http://schemas.microsoft.com/office/2006/metadata/properties" ma:root="true" ma:fieldsID="f44e277333779994ec93894b72b92130" ns3:_="">
    <xsd:import namespace="e3f6ec3a-4b2d-4cb2-aea2-b243bfb51b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6ec3a-4b2d-4cb2-aea2-b243bfb51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C0503-F611-423B-8B30-A517D3611D83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3f6ec3a-4b2d-4cb2-aea2-b243bfb51b8f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02B707-9A3B-4824-B781-ACB7E0317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5CD97-C390-47CD-8C06-F4E88B4C5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6ec3a-4b2d-4cb2-aea2-b243bfb51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Revenue</vt:lpstr>
      <vt:lpstr>Expenses</vt:lpstr>
      <vt:lpstr>Revenue Graph</vt:lpstr>
      <vt:lpstr>Transactions</vt:lpstr>
      <vt:lpstr>FTEs</vt:lpstr>
      <vt:lpstr>TollTags</vt:lpstr>
      <vt:lpstr>DC Ratios</vt:lpstr>
      <vt:lpstr>Lane Miles</vt:lpstr>
      <vt:lpstr>Inputs</vt:lpstr>
      <vt:lpstr>'Revenue Graph'!Print_Area</vt:lpstr>
    </vt:vector>
  </TitlesOfParts>
  <Company>North Texas Toll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Jaramillo, Jason</dc:creator>
  <cp:lastModifiedBy>Butler, Dee</cp:lastModifiedBy>
  <cp:lastPrinted>2020-04-23T16:59:28Z</cp:lastPrinted>
  <dcterms:created xsi:type="dcterms:W3CDTF">2018-04-16T19:07:54Z</dcterms:created>
  <dcterms:modified xsi:type="dcterms:W3CDTF">2024-08-02T19:33:24Z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0x010100D9DCCFDA0004CE469F3B1D706C2FB9B1</vt:lpwstr>
  </property>
</Properties>
</file>