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0" activeTab="0"/>
  </bookViews>
  <sheets>
    <sheet name="OMF by Acct" sheetId="1" r:id="rId1"/>
    <sheet name="All Funds" sheetId="2" r:id="rId2"/>
  </sheets>
  <externalReferences>
    <externalReference r:id="rId5"/>
    <externalReference r:id="rId6"/>
  </externalReferences>
  <definedNames>
    <definedName name="NvsASD">"V2019-03-23"</definedName>
    <definedName name="NvsAutoDrillOk">"VN"</definedName>
    <definedName name="NvsElapsedTime">0.0000115740695036948</definedName>
    <definedName name="NvsEndTime">43547.5222800926</definedName>
    <definedName name="NvsInstLang">"VENG"</definedName>
    <definedName name="NvsInstSpec">"%,FDEPTID,TNTTA_DEPTID_ROLLUP,NALL_DEPTID"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"V00001"</definedName>
    <definedName name="NvsPanelEffdt">"V1901-01-01"</definedName>
    <definedName name="NvsPanelSetid">"V00001"</definedName>
    <definedName name="NvsReqBU">"V00001"</definedName>
    <definedName name="NvsReqBUOnly">"VY"</definedName>
    <definedName name="NvsTransLed">"VN"</definedName>
    <definedName name="NvsTreeASD">"V2019-03-23"</definedName>
    <definedName name="NvsValTbl.ACCOUNT">"GL_ACCOUNT_TBL"</definedName>
    <definedName name="NvsValTbl.DEPTID">"DEPARTMENT_TBL"</definedName>
    <definedName name="NvsValTbl.FUND_CODE">"FUND_TBL"</definedName>
  </definedNames>
  <calcPr fullCalcOnLoad="1"/>
</workbook>
</file>

<file path=xl/sharedStrings.xml><?xml version="1.0" encoding="utf-8"?>
<sst xmlns="http://schemas.openxmlformats.org/spreadsheetml/2006/main" count="184" uniqueCount="112">
  <si>
    <t>Salaries &amp; Benefits</t>
  </si>
  <si>
    <t>Administration</t>
  </si>
  <si>
    <t>Board</t>
  </si>
  <si>
    <t>Human Resources</t>
  </si>
  <si>
    <t>Internal Audit</t>
  </si>
  <si>
    <t>Legal Services</t>
  </si>
  <si>
    <t>Public Affairs</t>
  </si>
  <si>
    <t>Shared Services</t>
  </si>
  <si>
    <t>Information Technology</t>
  </si>
  <si>
    <t>Maintenance</t>
  </si>
  <si>
    <t>Operations</t>
  </si>
  <si>
    <t>Project Delivery</t>
  </si>
  <si>
    <t>Account</t>
  </si>
  <si>
    <t>Totals</t>
  </si>
  <si>
    <t>Procurement and Business Diversity</t>
  </si>
  <si>
    <t>Accounting</t>
  </si>
  <si>
    <t>Contact Center and Collections</t>
  </si>
  <si>
    <t>Consulting &amp; Professional Services</t>
  </si>
  <si>
    <t>Business &amp; Marketing</t>
  </si>
  <si>
    <t>Administrative</t>
  </si>
  <si>
    <t>Treasury Management</t>
  </si>
  <si>
    <t>Increase or (Decrease) Amount</t>
  </si>
  <si>
    <t>Increase or (Decrease) Percent</t>
  </si>
  <si>
    <t>521101-Meeting Expense</t>
  </si>
  <si>
    <t>523101-Insurance Expense - Other</t>
  </si>
  <si>
    <t>523301-Recruitment</t>
  </si>
  <si>
    <t>523305-Employee Appreciation</t>
  </si>
  <si>
    <t>523501-Travel</t>
  </si>
  <si>
    <t>523601-Dues &amp; Subscriptions</t>
  </si>
  <si>
    <t>523902-Liability Claims</t>
  </si>
  <si>
    <t>531101-Office Supplies</t>
  </si>
  <si>
    <t>531105-Freight and Express</t>
  </si>
  <si>
    <t>531401-Books &amp; Periodicals</t>
  </si>
  <si>
    <t>573001-Bank Charges</t>
  </si>
  <si>
    <t>523203-Public Information Fees</t>
  </si>
  <si>
    <t>523303-Television &amp; Radio</t>
  </si>
  <si>
    <t>523304-Promotional Expenses</t>
  </si>
  <si>
    <t>523401-Printing and Photographic</t>
  </si>
  <si>
    <t>523402-Maps &amp; Pamphlets</t>
  </si>
  <si>
    <t>521201-Consulting/Professional</t>
  </si>
  <si>
    <t>521202-Legal Fees</t>
  </si>
  <si>
    <t>521203-Auditing Fees</t>
  </si>
  <si>
    <t>521204-Trustee Fees</t>
  </si>
  <si>
    <t>521207-Traffic Engineering Fees</t>
  </si>
  <si>
    <t>521208-Police Services (DPS)</t>
  </si>
  <si>
    <t>521209-Armored Car Services</t>
  </si>
  <si>
    <t>521212-Outside Maintenance Services</t>
  </si>
  <si>
    <t>523851-Temporary Contract Labor</t>
  </si>
  <si>
    <t>522202-Landscaping</t>
  </si>
  <si>
    <t>522301-Rentals - Land</t>
  </si>
  <si>
    <t>522302-Rentals - Equipment</t>
  </si>
  <si>
    <t>523801-Licenses</t>
  </si>
  <si>
    <t>531102-Other Materials and Supplies</t>
  </si>
  <si>
    <t>531107-Motor Fuel Expense</t>
  </si>
  <si>
    <t>531211-Water</t>
  </si>
  <si>
    <t>531221-Gas</t>
  </si>
  <si>
    <t>531231-Electricity</t>
  </si>
  <si>
    <t>531601-Small Tools and Shop Supplies</t>
  </si>
  <si>
    <t>531701-Uniforms</t>
  </si>
  <si>
    <t>523201-Postage</t>
  </si>
  <si>
    <t>523202-Telecommunications</t>
  </si>
  <si>
    <t>523701-Education and Training</t>
  </si>
  <si>
    <t>531103-Mobile Equipment Expense</t>
  </si>
  <si>
    <t>531501-Inven for resale(toll tags)</t>
  </si>
  <si>
    <t>531651-Software</t>
  </si>
  <si>
    <t>573002-Credit Card Fees</t>
  </si>
  <si>
    <t>511101-Salaries and Wages-Direct</t>
  </si>
  <si>
    <t>511202-Salaries and Wages-Internship</t>
  </si>
  <si>
    <t>511301-Salaries and Wage-Overtime</t>
  </si>
  <si>
    <t>512101-Group Insurance</t>
  </si>
  <si>
    <t>512401-Retirement Contributions</t>
  </si>
  <si>
    <t>512402-Retirement Contr.-Internship</t>
  </si>
  <si>
    <t>512501-Tuition Reimbursement</t>
  </si>
  <si>
    <t>512601-Unemployment Insurance</t>
  </si>
  <si>
    <t>512602-OPEB Annual Req'd Contribution</t>
  </si>
  <si>
    <t>512701-Worker's Comp Ins</t>
  </si>
  <si>
    <t>Traffic &amp; Incident Mgmt</t>
  </si>
  <si>
    <t>FY2021
Budget</t>
  </si>
  <si>
    <t>360 Tollway</t>
  </si>
  <si>
    <t>FY2022 
Budget</t>
  </si>
  <si>
    <t>Region</t>
  </si>
  <si>
    <t>360 To</t>
  </si>
  <si>
    <t>523302-Digital_Out of Home</t>
  </si>
  <si>
    <t>Enterprise Fund (Regional Tolling Services)</t>
  </si>
  <si>
    <t>FY2022
Budget</t>
  </si>
  <si>
    <t>Increase or
(Decrease)
Amount</t>
  </si>
  <si>
    <t>Increase or
(Decrease)
Percent</t>
  </si>
  <si>
    <t>8.02% of total salaries</t>
  </si>
  <si>
    <t>3.5% for SSRP</t>
  </si>
  <si>
    <t>521205-Rating Agency Fees</t>
  </si>
  <si>
    <t>521213-General Engineering</t>
  </si>
  <si>
    <t>521301-Consulting/Profess Serv Tech</t>
  </si>
  <si>
    <t>522203-Signing Expense</t>
  </si>
  <si>
    <t>522204-Pavement Markings</t>
  </si>
  <si>
    <t>522205-Pavement &amp; Shoulders</t>
  </si>
  <si>
    <t>522206-Bridge Repairs</t>
  </si>
  <si>
    <t>531106-Electronic Supplies</t>
  </si>
  <si>
    <t>531261-Utility Relocation Costs</t>
  </si>
  <si>
    <t>531611-Machinery</t>
  </si>
  <si>
    <t>531621-Vehicles</t>
  </si>
  <si>
    <t>531641-Computers</t>
  </si>
  <si>
    <t>541302-Building Improvements</t>
  </si>
  <si>
    <t>541401-Infrastructure Rdway/Hwy/Bridg</t>
  </si>
  <si>
    <t>541403-Infrastructure-Other</t>
  </si>
  <si>
    <t>173003-Right of Way (06)</t>
  </si>
  <si>
    <t>173005-Administration (01)</t>
  </si>
  <si>
    <t>173005-Planning (02)</t>
  </si>
  <si>
    <t>173005-Design (03)</t>
  </si>
  <si>
    <t>176001-Construction</t>
  </si>
  <si>
    <t>176001-Equipment/Hardware (05)</t>
  </si>
  <si>
    <t>176001-Utility Relo (07)</t>
  </si>
  <si>
    <t>6688007 (TSA)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</si>
</sst>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&quot;-&quot;#,##0"/>
    <numFmt numFmtId="165" formatCode="&quot;Account&quot;"/>
    <numFmt numFmtId="166" formatCode="&quot;$&quot;#,##0;&quot;($&quot;#,##0&quot;)&quot;"/>
    <numFmt numFmtId="167" formatCode="#,##0;&quot;(&quot;#,##0&quot;)&quot;"/>
    <numFmt numFmtId="168" formatCode="0.0%_);[Red]\ \ \(0.0%\)"/>
    <numFmt numFmtId="169" formatCode="&quot;$&quot;#,##0.0"/>
    <numFmt numFmtId="170" formatCode="_(* #,##0_);_(* \(#,##0\);_(* &quot;-&quot;??_);_(@_)"/>
    <numFmt numFmtId="171" formatCode="&quot;$&quot;#,##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21"/>
      <name val="Cambria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icrosoft Sans Serif"/>
      <family val="2"/>
    </font>
    <font>
      <sz val="10"/>
      <color indexed="8"/>
      <name val="Calibri"/>
      <family val="2"/>
    </font>
    <font>
      <b/>
      <sz val="9"/>
      <color indexed="8"/>
      <name val="Microsoft Sans Serif"/>
      <family val="2"/>
    </font>
    <font>
      <b/>
      <sz val="8"/>
      <color indexed="8"/>
      <name val="Microsoft Sans Serif"/>
      <family val="2"/>
    </font>
    <font>
      <b/>
      <sz val="8"/>
      <name val="Microsoft Sans Serif"/>
      <family val="2"/>
    </font>
    <font>
      <sz val="8"/>
      <name val="Calibri"/>
      <family val="2"/>
    </font>
    <font>
      <sz val="8"/>
      <name val="Microsoft Sans Serif"/>
      <family val="2"/>
    </font>
    <font>
      <sz val="10"/>
      <name val="Calibri"/>
      <family val="2"/>
    </font>
    <font>
      <sz val="11"/>
      <name val="Calibri"/>
      <family val="2"/>
    </font>
    <font>
      <b/>
      <sz val="8"/>
      <color indexed="10"/>
      <name val="Microsoft Sans Serif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0"/>
      <color indexed="10"/>
      <name val="Cambria"/>
      <family val="1"/>
    </font>
    <font>
      <b/>
      <sz val="9"/>
      <color indexed="8"/>
      <name val="MS Sans Se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Microsoft Sans Serif"/>
      <family val="2"/>
    </font>
    <font>
      <b/>
      <sz val="8"/>
      <color rgb="FF000000"/>
      <name val="Microsoft Sans Serif"/>
      <family val="2"/>
    </font>
    <font>
      <sz val="10"/>
      <color theme="1"/>
      <name val="Calibri"/>
      <family val="2"/>
    </font>
    <font>
      <b/>
      <sz val="9"/>
      <color rgb="FF000000"/>
      <name val="Microsoft Sans Serif"/>
      <family val="2"/>
    </font>
    <font>
      <b/>
      <sz val="8"/>
      <color rgb="FFFF0000"/>
      <name val="Microsoft Sans Serif"/>
      <family val="2"/>
    </font>
    <font>
      <sz val="10"/>
      <color theme="1"/>
      <name val="Cambria"/>
      <family val="1"/>
    </font>
    <font>
      <b/>
      <sz val="10"/>
      <color rgb="FF000000"/>
      <name val="Cambria"/>
      <family val="1"/>
    </font>
    <font>
      <sz val="10"/>
      <color rgb="FF000000"/>
      <name val="Cambria"/>
      <family val="1"/>
    </font>
    <font>
      <sz val="10"/>
      <color rgb="FFFF0000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double">
        <color rgb="FF000000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167" fontId="50" fillId="33" borderId="10" xfId="0" applyNumberFormat="1" applyFont="1" applyFill="1" applyBorder="1" applyAlignment="1">
      <alignment horizontal="right"/>
    </xf>
    <xf numFmtId="166" fontId="50" fillId="33" borderId="0" xfId="0" applyNumberFormat="1" applyFont="1" applyFill="1" applyAlignment="1">
      <alignment horizontal="right"/>
    </xf>
    <xf numFmtId="164" fontId="51" fillId="33" borderId="0" xfId="0" applyNumberFormat="1" applyFont="1" applyFill="1" applyAlignment="1">
      <alignment horizontal="right" vertical="center"/>
    </xf>
    <xf numFmtId="167" fontId="50" fillId="33" borderId="0" xfId="0" applyNumberFormat="1" applyFont="1" applyFill="1" applyAlignment="1">
      <alignment horizontal="right"/>
    </xf>
    <xf numFmtId="0" fontId="0" fillId="34" borderId="0" xfId="0" applyFill="1" applyAlignment="1">
      <alignment/>
    </xf>
    <xf numFmtId="0" fontId="52" fillId="34" borderId="0" xfId="0" applyFont="1" applyFill="1" applyAlignment="1">
      <alignment/>
    </xf>
    <xf numFmtId="165" fontId="22" fillId="0" borderId="0" xfId="0" applyNumberFormat="1" applyFont="1" applyFill="1" applyBorder="1" applyAlignment="1" quotePrefix="1">
      <alignment horizontal="left"/>
    </xf>
    <xf numFmtId="164" fontId="22" fillId="0" borderId="0" xfId="0" applyNumberFormat="1" applyFont="1" applyFill="1" applyBorder="1" applyAlignment="1" quotePrefix="1">
      <alignment horizontal="center" wrapText="1"/>
    </xf>
    <xf numFmtId="164" fontId="22" fillId="0" borderId="0" xfId="0" applyNumberFormat="1" applyFont="1" applyFill="1" applyBorder="1" applyAlignment="1" quotePrefix="1">
      <alignment horizontal="right" wrapText="1"/>
    </xf>
    <xf numFmtId="164" fontId="22" fillId="0" borderId="0" xfId="0" applyNumberFormat="1" applyFont="1" applyFill="1" applyBorder="1" applyAlignment="1" quotePrefix="1">
      <alignment horizontal="right" vertical="top" wrapText="1"/>
    </xf>
    <xf numFmtId="0" fontId="23" fillId="0" borderId="0" xfId="0" applyFont="1" applyFill="1" applyBorder="1" applyAlignment="1">
      <alignment/>
    </xf>
    <xf numFmtId="0" fontId="48" fillId="2" borderId="0" xfId="0" applyFont="1" applyFill="1" applyAlignment="1">
      <alignment/>
    </xf>
    <xf numFmtId="0" fontId="0" fillId="2" borderId="0" xfId="0" applyFill="1" applyAlignment="1">
      <alignment/>
    </xf>
    <xf numFmtId="0" fontId="53" fillId="33" borderId="0" xfId="0" applyFont="1" applyFill="1" applyAlignment="1">
      <alignment vertical="top" wrapText="1"/>
    </xf>
    <xf numFmtId="0" fontId="0" fillId="0" borderId="0" xfId="0" applyFill="1" applyAlignment="1">
      <alignment/>
    </xf>
    <xf numFmtId="6" fontId="50" fillId="33" borderId="0" xfId="0" applyNumberFormat="1" applyFont="1" applyFill="1" applyAlignment="1">
      <alignment horizontal="right"/>
    </xf>
    <xf numFmtId="0" fontId="0" fillId="33" borderId="0" xfId="0" applyFill="1" applyAlignment="1">
      <alignment wrapText="1"/>
    </xf>
    <xf numFmtId="0" fontId="0" fillId="0" borderId="0" xfId="0" applyFill="1" applyAlignment="1">
      <alignment wrapText="1"/>
    </xf>
    <xf numFmtId="164" fontId="24" fillId="33" borderId="10" xfId="0" applyNumberFormat="1" applyFont="1" applyFill="1" applyBorder="1" applyAlignment="1">
      <alignment horizontal="left"/>
    </xf>
    <xf numFmtId="167" fontId="24" fillId="33" borderId="10" xfId="0" applyNumberFormat="1" applyFont="1" applyFill="1" applyBorder="1" applyAlignment="1">
      <alignment horizontal="right"/>
    </xf>
    <xf numFmtId="164" fontId="24" fillId="33" borderId="0" xfId="0" applyNumberFormat="1" applyFont="1" applyFill="1" applyAlignment="1" quotePrefix="1">
      <alignment horizontal="left"/>
    </xf>
    <xf numFmtId="166" fontId="24" fillId="33" borderId="0" xfId="0" applyNumberFormat="1" applyFont="1" applyFill="1" applyAlignment="1">
      <alignment horizontal="right"/>
    </xf>
    <xf numFmtId="167" fontId="24" fillId="33" borderId="0" xfId="0" applyNumberFormat="1" applyFont="1" applyFill="1" applyAlignment="1">
      <alignment horizontal="right"/>
    </xf>
    <xf numFmtId="38" fontId="24" fillId="33" borderId="0" xfId="0" applyNumberFormat="1" applyFont="1" applyFill="1" applyAlignment="1">
      <alignment horizontal="right"/>
    </xf>
    <xf numFmtId="164" fontId="22" fillId="2" borderId="0" xfId="0" applyNumberFormat="1" applyFont="1" applyFill="1" applyAlignment="1" quotePrefix="1">
      <alignment horizontal="left"/>
    </xf>
    <xf numFmtId="167" fontId="22" fillId="2" borderId="0" xfId="0" applyNumberFormat="1" applyFont="1" applyFill="1" applyAlignment="1">
      <alignment horizontal="right"/>
    </xf>
    <xf numFmtId="164" fontId="22" fillId="33" borderId="0" xfId="0" applyNumberFormat="1" applyFont="1" applyFill="1" applyAlignment="1">
      <alignment horizontal="left" vertical="center"/>
    </xf>
    <xf numFmtId="164" fontId="22" fillId="33" borderId="0" xfId="0" applyNumberFormat="1" applyFont="1" applyFill="1" applyAlignment="1">
      <alignment horizontal="right" vertical="center"/>
    </xf>
    <xf numFmtId="166" fontId="22" fillId="33" borderId="11" xfId="0" applyNumberFormat="1" applyFont="1" applyFill="1" applyBorder="1" applyAlignment="1" quotePrefix="1">
      <alignment horizontal="left" vertical="center"/>
    </xf>
    <xf numFmtId="166" fontId="22" fillId="33" borderId="11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wrapText="1"/>
    </xf>
    <xf numFmtId="0" fontId="26" fillId="0" borderId="0" xfId="0" applyFont="1" applyFill="1" applyAlignment="1">
      <alignment/>
    </xf>
    <xf numFmtId="164" fontId="24" fillId="0" borderId="0" xfId="0" applyNumberFormat="1" applyFont="1" applyFill="1" applyAlignment="1" quotePrefix="1">
      <alignment horizontal="left"/>
    </xf>
    <xf numFmtId="166" fontId="0" fillId="34" borderId="0" xfId="0" applyNumberFormat="1" applyFill="1" applyAlignment="1">
      <alignment/>
    </xf>
    <xf numFmtId="168" fontId="50" fillId="33" borderId="0" xfId="57" applyNumberFormat="1" applyFont="1" applyFill="1" applyAlignment="1">
      <alignment horizontal="right"/>
    </xf>
    <xf numFmtId="168" fontId="51" fillId="33" borderId="0" xfId="57" applyNumberFormat="1" applyFont="1" applyFill="1" applyAlignment="1">
      <alignment horizontal="right" vertical="center"/>
    </xf>
    <xf numFmtId="168" fontId="22" fillId="33" borderId="11" xfId="57" applyNumberFormat="1" applyFont="1" applyFill="1" applyBorder="1" applyAlignment="1">
      <alignment horizontal="right" vertical="center"/>
    </xf>
    <xf numFmtId="166" fontId="0" fillId="0" borderId="0" xfId="0" applyNumberFormat="1" applyFill="1" applyAlignment="1">
      <alignment wrapText="1"/>
    </xf>
    <xf numFmtId="164" fontId="22" fillId="35" borderId="0" xfId="0" applyNumberFormat="1" applyFont="1" applyFill="1" applyBorder="1" applyAlignment="1" quotePrefix="1">
      <alignment horizontal="right" wrapText="1"/>
    </xf>
    <xf numFmtId="166" fontId="0" fillId="0" borderId="0" xfId="0" applyNumberFormat="1" applyFill="1" applyAlignment="1">
      <alignment/>
    </xf>
    <xf numFmtId="0" fontId="0" fillId="33" borderId="0" xfId="0" applyFill="1" applyAlignment="1">
      <alignment horizontal="center" wrapText="1"/>
    </xf>
    <xf numFmtId="166" fontId="22" fillId="0" borderId="11" xfId="0" applyNumberFormat="1" applyFont="1" applyFill="1" applyBorder="1" applyAlignment="1">
      <alignment horizontal="right" vertical="center"/>
    </xf>
    <xf numFmtId="168" fontId="22" fillId="2" borderId="0" xfId="57" applyNumberFormat="1" applyFont="1" applyFill="1" applyAlignment="1">
      <alignment horizontal="right"/>
    </xf>
    <xf numFmtId="167" fontId="54" fillId="2" borderId="0" xfId="0" applyNumberFormat="1" applyFont="1" applyFill="1" applyAlignment="1">
      <alignment horizontal="right"/>
    </xf>
    <xf numFmtId="166" fontId="54" fillId="0" borderId="11" xfId="0" applyNumberFormat="1" applyFont="1" applyFill="1" applyBorder="1" applyAlignment="1">
      <alignment horizontal="right" vertical="center"/>
    </xf>
    <xf numFmtId="38" fontId="50" fillId="33" borderId="0" xfId="0" applyNumberFormat="1" applyFont="1" applyFill="1" applyAlignment="1">
      <alignment horizontal="right"/>
    </xf>
    <xf numFmtId="38" fontId="22" fillId="2" borderId="0" xfId="0" applyNumberFormat="1" applyFont="1" applyFill="1" applyAlignment="1">
      <alignment horizontal="right"/>
    </xf>
    <xf numFmtId="0" fontId="0" fillId="34" borderId="0" xfId="0" applyFill="1" applyAlignment="1">
      <alignment horizontal="left"/>
    </xf>
    <xf numFmtId="0" fontId="0" fillId="34" borderId="0" xfId="0" applyNumberFormat="1" applyFill="1" applyAlignment="1">
      <alignment horizontal="left"/>
    </xf>
    <xf numFmtId="0" fontId="48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169" fontId="0" fillId="33" borderId="0" xfId="0" applyNumberFormat="1" applyFill="1" applyAlignment="1">
      <alignment wrapText="1"/>
    </xf>
    <xf numFmtId="0" fontId="55" fillId="34" borderId="0" xfId="0" applyFont="1" applyFill="1" applyAlignment="1">
      <alignment/>
    </xf>
    <xf numFmtId="0" fontId="55" fillId="0" borderId="0" xfId="0" applyFont="1" applyFill="1" applyAlignment="1">
      <alignment/>
    </xf>
    <xf numFmtId="0" fontId="56" fillId="33" borderId="0" xfId="0" applyFont="1" applyFill="1" applyAlignment="1">
      <alignment vertical="top" wrapText="1"/>
    </xf>
    <xf numFmtId="0" fontId="55" fillId="33" borderId="0" xfId="0" applyFont="1" applyFill="1" applyAlignment="1">
      <alignment wrapText="1"/>
    </xf>
    <xf numFmtId="170" fontId="55" fillId="34" borderId="0" xfId="42" applyNumberFormat="1" applyFont="1" applyFill="1" applyAlignment="1">
      <alignment/>
    </xf>
    <xf numFmtId="0" fontId="55" fillId="33" borderId="0" xfId="0" applyFont="1" applyFill="1" applyAlignment="1">
      <alignment/>
    </xf>
    <xf numFmtId="170" fontId="55" fillId="33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 vertical="center"/>
    </xf>
    <xf numFmtId="170" fontId="55" fillId="33" borderId="0" xfId="42" applyNumberFormat="1" applyFont="1" applyFill="1" applyAlignment="1">
      <alignment/>
    </xf>
    <xf numFmtId="0" fontId="30" fillId="0" borderId="0" xfId="0" applyFont="1" applyFill="1" applyBorder="1" applyAlignment="1">
      <alignment wrapText="1"/>
    </xf>
    <xf numFmtId="164" fontId="56" fillId="33" borderId="12" xfId="0" applyNumberFormat="1" applyFont="1" applyFill="1" applyBorder="1" applyAlignment="1">
      <alignment horizontal="left"/>
    </xf>
    <xf numFmtId="164" fontId="31" fillId="0" borderId="12" xfId="0" applyNumberFormat="1" applyFont="1" applyFill="1" applyBorder="1" applyAlignment="1" quotePrefix="1">
      <alignment horizontal="center" wrapText="1"/>
    </xf>
    <xf numFmtId="164" fontId="31" fillId="35" borderId="12" xfId="0" applyNumberFormat="1" applyFont="1" applyFill="1" applyBorder="1" applyAlignment="1" quotePrefix="1">
      <alignment horizontal="center" wrapText="1"/>
    </xf>
    <xf numFmtId="0" fontId="55" fillId="34" borderId="0" xfId="0" applyNumberFormat="1" applyFont="1" applyFill="1" applyAlignment="1">
      <alignment/>
    </xf>
    <xf numFmtId="0" fontId="55" fillId="34" borderId="0" xfId="0" applyNumberFormat="1" applyFont="1" applyFill="1" applyAlignment="1">
      <alignment horizontal="left"/>
    </xf>
    <xf numFmtId="164" fontId="57" fillId="33" borderId="0" xfId="0" applyNumberFormat="1" applyFont="1" applyFill="1" applyAlignment="1" quotePrefix="1">
      <alignment horizontal="left"/>
    </xf>
    <xf numFmtId="166" fontId="57" fillId="0" borderId="0" xfId="0" applyNumberFormat="1" applyFont="1" applyFill="1" applyAlignment="1">
      <alignment horizontal="right"/>
    </xf>
    <xf numFmtId="166" fontId="58" fillId="35" borderId="0" xfId="0" applyNumberFormat="1" applyFont="1" applyFill="1" applyAlignment="1">
      <alignment horizontal="right"/>
    </xf>
    <xf numFmtId="166" fontId="30" fillId="0" borderId="0" xfId="0" applyNumberFormat="1" applyFont="1" applyFill="1" applyAlignment="1">
      <alignment horizontal="right"/>
    </xf>
    <xf numFmtId="166" fontId="57" fillId="35" borderId="0" xfId="0" applyNumberFormat="1" applyFont="1" applyFill="1" applyAlignment="1">
      <alignment horizontal="right"/>
    </xf>
    <xf numFmtId="168" fontId="57" fillId="35" borderId="0" xfId="0" applyNumberFormat="1" applyFont="1" applyFill="1" applyAlignment="1">
      <alignment horizontal="right"/>
    </xf>
    <xf numFmtId="166" fontId="55" fillId="36" borderId="0" xfId="0" applyNumberFormat="1" applyFont="1" applyFill="1" applyAlignment="1">
      <alignment/>
    </xf>
    <xf numFmtId="167" fontId="57" fillId="0" borderId="0" xfId="0" applyNumberFormat="1" applyFont="1" applyFill="1" applyAlignment="1">
      <alignment horizontal="right"/>
    </xf>
    <xf numFmtId="0" fontId="57" fillId="0" borderId="0" xfId="0" applyNumberFormat="1" applyFont="1" applyFill="1" applyAlignment="1">
      <alignment horizontal="right"/>
    </xf>
    <xf numFmtId="167" fontId="30" fillId="0" borderId="0" xfId="0" applyNumberFormat="1" applyFont="1" applyFill="1" applyAlignment="1">
      <alignment horizontal="right"/>
    </xf>
    <xf numFmtId="167" fontId="57" fillId="35" borderId="0" xfId="0" applyNumberFormat="1" applyFont="1" applyFill="1" applyAlignment="1">
      <alignment horizontal="right"/>
    </xf>
    <xf numFmtId="38" fontId="55" fillId="35" borderId="0" xfId="42" applyNumberFormat="1" applyFont="1" applyFill="1" applyAlignment="1">
      <alignment horizontal="right"/>
    </xf>
    <xf numFmtId="171" fontId="55" fillId="37" borderId="0" xfId="0" applyNumberFormat="1" applyFont="1" applyFill="1" applyAlignment="1">
      <alignment/>
    </xf>
    <xf numFmtId="10" fontId="55" fillId="34" borderId="0" xfId="0" applyNumberFormat="1" applyFont="1" applyFill="1" applyAlignment="1">
      <alignment/>
    </xf>
    <xf numFmtId="166" fontId="55" fillId="0" borderId="0" xfId="0" applyNumberFormat="1" applyFont="1" applyFill="1" applyAlignment="1">
      <alignment/>
    </xf>
    <xf numFmtId="164" fontId="56" fillId="33" borderId="0" xfId="0" applyNumberFormat="1" applyFont="1" applyFill="1" applyAlignment="1">
      <alignment horizontal="left" vertical="center"/>
    </xf>
    <xf numFmtId="164" fontId="56" fillId="35" borderId="0" xfId="0" applyNumberFormat="1" applyFont="1" applyFill="1" applyAlignment="1">
      <alignment horizontal="right" vertical="center"/>
    </xf>
    <xf numFmtId="166" fontId="56" fillId="0" borderId="11" xfId="0" applyNumberFormat="1" applyFont="1" applyFill="1" applyBorder="1" applyAlignment="1" quotePrefix="1">
      <alignment horizontal="left" vertical="center"/>
    </xf>
    <xf numFmtId="166" fontId="56" fillId="0" borderId="11" xfId="0" applyNumberFormat="1" applyFont="1" applyFill="1" applyBorder="1" applyAlignment="1">
      <alignment horizontal="right" vertical="center"/>
    </xf>
    <xf numFmtId="166" fontId="31" fillId="0" borderId="11" xfId="0" applyNumberFormat="1" applyFont="1" applyFill="1" applyBorder="1" applyAlignment="1">
      <alignment horizontal="right" vertical="center"/>
    </xf>
    <xf numFmtId="166" fontId="56" fillId="35" borderId="11" xfId="0" applyNumberFormat="1" applyFont="1" applyFill="1" applyBorder="1" applyAlignment="1">
      <alignment horizontal="right" vertical="center"/>
    </xf>
    <xf numFmtId="6" fontId="31" fillId="35" borderId="11" xfId="0" applyNumberFormat="1" applyFont="1" applyFill="1" applyBorder="1" applyAlignment="1">
      <alignment horizontal="right" vertical="center"/>
    </xf>
    <xf numFmtId="168" fontId="31" fillId="35" borderId="11" xfId="57" applyNumberFormat="1" applyFont="1" applyFill="1" applyBorder="1" applyAlignment="1">
      <alignment horizontal="right" vertical="center"/>
    </xf>
    <xf numFmtId="0" fontId="57" fillId="33" borderId="0" xfId="0" applyFont="1" applyFill="1" applyAlignment="1">
      <alignment wrapText="1"/>
    </xf>
    <xf numFmtId="0" fontId="55" fillId="35" borderId="0" xfId="0" applyFont="1" applyFill="1" applyAlignment="1">
      <alignment/>
    </xf>
    <xf numFmtId="166" fontId="55" fillId="35" borderId="0" xfId="0" applyNumberFormat="1" applyFont="1" applyFill="1" applyAlignment="1">
      <alignment/>
    </xf>
    <xf numFmtId="170" fontId="55" fillId="35" borderId="0" xfId="42" applyNumberFormat="1" applyFont="1" applyFill="1" applyAlignment="1">
      <alignment/>
    </xf>
    <xf numFmtId="166" fontId="55" fillId="33" borderId="0" xfId="0" applyNumberFormat="1" applyFont="1" applyFill="1" applyAlignment="1">
      <alignment/>
    </xf>
    <xf numFmtId="170" fontId="55" fillId="33" borderId="0" xfId="42" applyNumberFormat="1" applyFont="1" applyFill="1" applyAlignment="1">
      <alignment/>
    </xf>
    <xf numFmtId="0" fontId="55" fillId="33" borderId="0" xfId="0" applyFont="1" applyFill="1" applyAlignment="1">
      <alignment/>
    </xf>
    <xf numFmtId="166" fontId="55" fillId="34" borderId="0" xfId="0" applyNumberFormat="1" applyFont="1" applyFill="1" applyAlignment="1">
      <alignment/>
    </xf>
    <xf numFmtId="170" fontId="55" fillId="34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\images\spacer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\images\space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1019175</xdr:colOff>
      <xdr:row>1</xdr:row>
      <xdr:rowOff>66675</xdr:rowOff>
    </xdr:from>
    <xdr:ext cx="3267075" cy="495300"/>
    <xdr:sp>
      <xdr:nvSpPr>
        <xdr:cNvPr id="1" name="Text Box 2"/>
        <xdr:cNvSpPr txBox="1">
          <a:spLocks noChangeArrowheads="1"/>
        </xdr:cNvSpPr>
      </xdr:nvSpPr>
      <xdr:spPr>
        <a:xfrm>
          <a:off x="1628775" y="257175"/>
          <a:ext cx="32670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North Texas Tollway Authority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Operation and Maintenance Fund Budget by Account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FY2022</a:t>
          </a:r>
        </a:p>
      </xdr:txBody>
    </xdr:sp>
    <xdr:clientData/>
  </xdr:oneCellAnchor>
  <xdr:twoCellAnchor editAs="oneCell">
    <xdr:from>
      <xdr:col>1</xdr:col>
      <xdr:colOff>0</xdr:colOff>
      <xdr:row>75</xdr:row>
      <xdr:rowOff>0</xdr:rowOff>
    </xdr:from>
    <xdr:to>
      <xdr:col>1</xdr:col>
      <xdr:colOff>9525</xdr:colOff>
      <xdr:row>75</xdr:row>
      <xdr:rowOff>9525</xdr:rowOff>
    </xdr:to>
    <xdr:pic>
      <xdr:nvPicPr>
        <xdr:cNvPr id="2" name="Picture 6" descr="../images/spac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11487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304800</xdr:colOff>
      <xdr:row>1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0</xdr:row>
      <xdr:rowOff>0</xdr:rowOff>
    </xdr:from>
    <xdr:to>
      <xdr:col>2</xdr:col>
      <xdr:colOff>1533525</xdr:colOff>
      <xdr:row>1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1238250</xdr:colOff>
      <xdr:row>0</xdr:row>
      <xdr:rowOff>0</xdr:rowOff>
    </xdr:from>
    <xdr:to>
      <xdr:col>2</xdr:col>
      <xdr:colOff>2152650</xdr:colOff>
      <xdr:row>1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4785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9525</xdr:colOff>
      <xdr:row>85</xdr:row>
      <xdr:rowOff>9525</xdr:rowOff>
    </xdr:to>
    <xdr:pic>
      <xdr:nvPicPr>
        <xdr:cNvPr id="4" name="Picture 6" descr="../images/spacer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609600" y="1258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9525</xdr:colOff>
      <xdr:row>85</xdr:row>
      <xdr:rowOff>9525</xdr:rowOff>
    </xdr:to>
    <xdr:pic>
      <xdr:nvPicPr>
        <xdr:cNvPr id="5" name="Picture 6" descr="../images/spacer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609600" y="1258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666750</xdr:colOff>
      <xdr:row>2</xdr:row>
      <xdr:rowOff>9525</xdr:rowOff>
    </xdr:from>
    <xdr:ext cx="1714500" cy="504825"/>
    <xdr:sp>
      <xdr:nvSpPr>
        <xdr:cNvPr id="6" name="Text Box 2"/>
        <xdr:cNvSpPr txBox="1">
          <a:spLocks noChangeArrowheads="1"/>
        </xdr:cNvSpPr>
      </xdr:nvSpPr>
      <xdr:spPr>
        <a:xfrm>
          <a:off x="1276350" y="333375"/>
          <a:ext cx="17145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North Texas Tollway Authority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rPr>
            <a:t>All Funds Budget by Account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FY2022</a:t>
          </a:r>
        </a:p>
      </xdr:txBody>
    </xdr:sp>
    <xdr:clientData/>
  </xdr:oneCellAnchor>
  <xdr:twoCellAnchor editAs="oneCell">
    <xdr:from>
      <xdr:col>2</xdr:col>
      <xdr:colOff>0</xdr:colOff>
      <xdr:row>85</xdr:row>
      <xdr:rowOff>0</xdr:rowOff>
    </xdr:from>
    <xdr:to>
      <xdr:col>2</xdr:col>
      <xdr:colOff>9525</xdr:colOff>
      <xdr:row>85</xdr:row>
      <xdr:rowOff>9525</xdr:rowOff>
    </xdr:to>
    <xdr:pic>
      <xdr:nvPicPr>
        <xdr:cNvPr id="7" name="Picture 6" descr="../images/spacer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609600" y="12582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93</xdr:row>
      <xdr:rowOff>9525</xdr:rowOff>
    </xdr:to>
    <xdr:pic>
      <xdr:nvPicPr>
        <xdr:cNvPr id="8" name="Picture 6" descr="../images/spacer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609600" y="1269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93</xdr:row>
      <xdr:rowOff>9525</xdr:rowOff>
    </xdr:to>
    <xdr:pic>
      <xdr:nvPicPr>
        <xdr:cNvPr id="9" name="Picture 6" descr="../images/spacer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609600" y="12696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tafs1.ntta.local\groups\Treasury\Budget\Budget%20Preparation\Budget\Budget%202022\3%20Departmental%20Budgets\Departmental%20Budget%20Summary-Agency%20Amended%20v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iffanyh\Desktop\Revised%20Prelim%20Bud%20(Leigh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min"/>
      <sheetName val="Board"/>
      <sheetName val="Accounting"/>
      <sheetName val="Procurement &amp; Bus Diversity"/>
      <sheetName val="Treasury"/>
      <sheetName val="Shared Svcs"/>
      <sheetName val="HR"/>
      <sheetName val="Internal Audit"/>
      <sheetName val="Legal"/>
      <sheetName val="Cust Svc Center "/>
      <sheetName val="IT"/>
      <sheetName val="Operations"/>
      <sheetName val="Maint"/>
      <sheetName val="PD"/>
      <sheetName val="Public Affairs"/>
      <sheetName val="TIM"/>
      <sheetName val="Pro10521"/>
      <sheetName val="10522"/>
      <sheetName val="10411"/>
      <sheetName val="10431"/>
      <sheetName val="Check"/>
      <sheetName val="CC20011"/>
      <sheetName val="20012"/>
      <sheetName val="20013"/>
      <sheetName val="20014"/>
      <sheetName val="20021"/>
      <sheetName val="20022"/>
      <sheetName val="20023"/>
      <sheetName val="20024"/>
      <sheetName val="Maint20221"/>
      <sheetName val="20231"/>
      <sheetName val="20241"/>
      <sheetName val="20251"/>
      <sheetName val="20261"/>
      <sheetName val="20271"/>
      <sheetName val="TIM20611"/>
      <sheetName val="20621"/>
      <sheetName val="20631"/>
      <sheetName val="20641"/>
    </sheetNames>
    <sheetDataSet>
      <sheetData sheetId="9">
        <row r="13">
          <cell r="A13">
            <v>511101</v>
          </cell>
          <cell r="B13" t="str">
            <v>Salaries and Wages-Direct - (511101)</v>
          </cell>
          <cell r="C13">
            <v>12804621.180000002</v>
          </cell>
          <cell r="D13">
            <v>12694953</v>
          </cell>
        </row>
        <row r="14">
          <cell r="A14">
            <v>511301</v>
          </cell>
          <cell r="B14" t="str">
            <v>Salaries and Wage-Overtime - (511301)</v>
          </cell>
          <cell r="C14">
            <v>390586.39</v>
          </cell>
          <cell r="D14">
            <v>343020.43000000005</v>
          </cell>
        </row>
        <row r="15">
          <cell r="A15">
            <v>512401</v>
          </cell>
          <cell r="B15" t="str">
            <v>Retirement Contributions - (512401)</v>
          </cell>
          <cell r="C15">
            <v>1656970.7961020004</v>
          </cell>
          <cell r="D15">
            <v>2004658</v>
          </cell>
        </row>
        <row r="16">
          <cell r="A16">
            <v>521101</v>
          </cell>
          <cell r="B16" t="str">
            <v>Meeting Expense - (521101)</v>
          </cell>
          <cell r="C16">
            <v>13494.869999999999</v>
          </cell>
          <cell r="D16">
            <v>13516.13</v>
          </cell>
        </row>
        <row r="17">
          <cell r="A17">
            <v>521201</v>
          </cell>
          <cell r="B17" t="str">
            <v>Consulting/Professional - (521201)</v>
          </cell>
          <cell r="C17">
            <v>10198731.08</v>
          </cell>
          <cell r="D17">
            <v>14793923</v>
          </cell>
        </row>
        <row r="18">
          <cell r="A18">
            <v>521209</v>
          </cell>
          <cell r="B18" t="str">
            <v>Armored Car Services - (521209)</v>
          </cell>
          <cell r="C18">
            <v>50142</v>
          </cell>
          <cell r="D18">
            <v>50142</v>
          </cell>
        </row>
        <row r="19">
          <cell r="A19">
            <v>522302</v>
          </cell>
          <cell r="B19" t="str">
            <v>Rentals - Equipment - (522302)</v>
          </cell>
          <cell r="C19">
            <v>30822</v>
          </cell>
          <cell r="D19">
            <v>33904.2</v>
          </cell>
        </row>
        <row r="20">
          <cell r="A20">
            <v>523201</v>
          </cell>
          <cell r="B20" t="str">
            <v>Postage - (523201)</v>
          </cell>
          <cell r="C20">
            <v>9905044.09</v>
          </cell>
          <cell r="D20">
            <v>12900000</v>
          </cell>
        </row>
        <row r="21">
          <cell r="A21">
            <v>523304</v>
          </cell>
          <cell r="B21" t="str">
            <v>Promotional Expenses - (523304)</v>
          </cell>
          <cell r="C21">
            <v>213477.85</v>
          </cell>
          <cell r="D21">
            <v>234212.84</v>
          </cell>
        </row>
        <row r="22">
          <cell r="A22">
            <v>523401</v>
          </cell>
          <cell r="B22" t="str">
            <v>Printing and Photographic - (523401)</v>
          </cell>
          <cell r="C22">
            <v>84649.34</v>
          </cell>
          <cell r="D22">
            <v>152435</v>
          </cell>
        </row>
        <row r="23">
          <cell r="A23">
            <v>523501</v>
          </cell>
          <cell r="B23" t="str">
            <v>Travel - (523501)</v>
          </cell>
          <cell r="C23">
            <v>3935.7000000000003</v>
          </cell>
          <cell r="D23">
            <v>19364.289999999997</v>
          </cell>
        </row>
        <row r="24">
          <cell r="A24">
            <v>523601</v>
          </cell>
          <cell r="B24" t="str">
            <v>Dues &amp; Subscriptions - (523601)</v>
          </cell>
          <cell r="C24">
            <v>2284</v>
          </cell>
          <cell r="D24">
            <v>2512.8</v>
          </cell>
        </row>
        <row r="25">
          <cell r="A25">
            <v>523701</v>
          </cell>
          <cell r="B25" t="str">
            <v>Education and Training - (523701)</v>
          </cell>
          <cell r="C25">
            <v>24536.09</v>
          </cell>
          <cell r="D25">
            <v>29393.190000000002</v>
          </cell>
        </row>
        <row r="26">
          <cell r="A26">
            <v>523851</v>
          </cell>
          <cell r="B26" t="str">
            <v>Temporary Contract Labor - (523851)</v>
          </cell>
          <cell r="C26">
            <v>10428170.4</v>
          </cell>
          <cell r="D26">
            <v>16000000</v>
          </cell>
        </row>
        <row r="27">
          <cell r="A27">
            <v>531101</v>
          </cell>
          <cell r="B27" t="str">
            <v>Office Supplies - (531101)</v>
          </cell>
          <cell r="C27">
            <v>40810.25</v>
          </cell>
          <cell r="D27">
            <v>50000</v>
          </cell>
        </row>
        <row r="28">
          <cell r="A28">
            <v>531105</v>
          </cell>
          <cell r="B28" t="str">
            <v>Freight and Express - (531105)</v>
          </cell>
          <cell r="C28">
            <v>1097.51</v>
          </cell>
          <cell r="D28">
            <v>7696.3</v>
          </cell>
        </row>
        <row r="29">
          <cell r="A29">
            <v>531501</v>
          </cell>
          <cell r="B29" t="str">
            <v>Inven for resale(toll tags) - (531501)</v>
          </cell>
          <cell r="C29">
            <v>5711416.74</v>
          </cell>
          <cell r="D29">
            <v>6200000</v>
          </cell>
        </row>
        <row r="30">
          <cell r="A30">
            <v>531701</v>
          </cell>
          <cell r="B30" t="str">
            <v>Uniforms - (531701)</v>
          </cell>
          <cell r="C30">
            <v>20262</v>
          </cell>
          <cell r="D30">
            <v>17590</v>
          </cell>
        </row>
        <row r="31">
          <cell r="A31">
            <v>573001</v>
          </cell>
          <cell r="B31" t="str">
            <v>Bank Charges - (573001)</v>
          </cell>
          <cell r="C31">
            <v>413841.38</v>
          </cell>
          <cell r="D31">
            <v>455225.69</v>
          </cell>
        </row>
        <row r="32">
          <cell r="A32">
            <v>573002</v>
          </cell>
          <cell r="B32" t="str">
            <v>Credit Card Fees - (573002)</v>
          </cell>
          <cell r="C32">
            <v>23526092.029999997</v>
          </cell>
          <cell r="D32">
            <v>27441513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imated Bud by Dept"/>
      <sheetName val="Short"/>
    </sheetNames>
    <sheetDataSet>
      <sheetData sheetId="0">
        <row r="4">
          <cell r="A4">
            <v>511101</v>
          </cell>
          <cell r="D4" t="str">
            <v>Salaries and Wages-Direct - (511101)</v>
          </cell>
          <cell r="E4">
            <v>45738425.07672097</v>
          </cell>
          <cell r="F4">
            <v>46618114.97</v>
          </cell>
        </row>
        <row r="5">
          <cell r="A5">
            <v>511103</v>
          </cell>
          <cell r="D5" t="str">
            <v>Salaries and Wages-Comp Adj. - (511103)</v>
          </cell>
          <cell r="E5">
            <v>0</v>
          </cell>
          <cell r="F5">
            <v>0</v>
          </cell>
        </row>
        <row r="6">
          <cell r="A6">
            <v>511202</v>
          </cell>
          <cell r="D6" t="str">
            <v>Salaries and Wages-Internship - (511202)</v>
          </cell>
          <cell r="E6">
            <v>0</v>
          </cell>
          <cell r="F6">
            <v>0</v>
          </cell>
        </row>
        <row r="7">
          <cell r="A7">
            <v>511301</v>
          </cell>
          <cell r="D7" t="str">
            <v>Salaries and Wage-Overtime - (511301)</v>
          </cell>
          <cell r="E7">
            <v>764676.4800000001</v>
          </cell>
          <cell r="F7">
            <v>811848.97</v>
          </cell>
        </row>
        <row r="8">
          <cell r="A8">
            <v>512101</v>
          </cell>
          <cell r="D8" t="str">
            <v>Group Insurance - (512101)</v>
          </cell>
          <cell r="E8">
            <v>9769173</v>
          </cell>
          <cell r="F8">
            <v>9494854.8</v>
          </cell>
        </row>
        <row r="9">
          <cell r="A9">
            <v>512401</v>
          </cell>
          <cell r="D9" t="str">
            <v>Retirement Contributions - (512401)</v>
          </cell>
          <cell r="E9">
            <v>7642821.086504024</v>
          </cell>
          <cell r="F9">
            <v>6020586.383179</v>
          </cell>
        </row>
        <row r="10">
          <cell r="A10">
            <v>512402</v>
          </cell>
          <cell r="D10" t="str">
            <v>Retirement Contr.-Internship - (512402)</v>
          </cell>
          <cell r="E10">
            <v>0</v>
          </cell>
          <cell r="F10">
            <v>0</v>
          </cell>
        </row>
        <row r="11">
          <cell r="A11">
            <v>512403</v>
          </cell>
          <cell r="D11" t="str">
            <v>Retirement Contr.-Comp. Adj. - (512403)</v>
          </cell>
          <cell r="E11">
            <v>0</v>
          </cell>
          <cell r="F11">
            <v>0</v>
          </cell>
        </row>
        <row r="12">
          <cell r="A12">
            <v>512501</v>
          </cell>
          <cell r="D12" t="str">
            <v>Tuition Reimbursement - (512501)</v>
          </cell>
          <cell r="E12">
            <v>11770</v>
          </cell>
          <cell r="F12">
            <v>11770</v>
          </cell>
        </row>
        <row r="13">
          <cell r="A13">
            <v>512601</v>
          </cell>
          <cell r="D13" t="str">
            <v>Unemployment Insurance - (512601)</v>
          </cell>
          <cell r="E13">
            <v>123661</v>
          </cell>
          <cell r="F13">
            <v>123661</v>
          </cell>
        </row>
        <row r="14">
          <cell r="A14">
            <v>512602</v>
          </cell>
          <cell r="D14" t="str">
            <v>OPEB Annual Req'd Contribution - (512602)</v>
          </cell>
          <cell r="E14">
            <v>0</v>
          </cell>
          <cell r="F14">
            <v>0</v>
          </cell>
        </row>
        <row r="15">
          <cell r="A15">
            <v>0</v>
          </cell>
          <cell r="D15" t="str">
            <v>Regional Tolling Services</v>
          </cell>
          <cell r="E15">
            <v>-25163275</v>
          </cell>
          <cell r="F15">
            <v>-21608319</v>
          </cell>
        </row>
        <row r="16">
          <cell r="A16">
            <v>512701</v>
          </cell>
          <cell r="D16" t="str">
            <v>Worker's Comp Ins - (512701)</v>
          </cell>
          <cell r="E16">
            <v>237285</v>
          </cell>
          <cell r="F16">
            <v>237285</v>
          </cell>
        </row>
        <row r="17">
          <cell r="A17">
            <v>512901</v>
          </cell>
          <cell r="D17" t="str">
            <v>Relocation Expenses - (512901)</v>
          </cell>
          <cell r="E17">
            <v>0</v>
          </cell>
          <cell r="F17">
            <v>0</v>
          </cell>
        </row>
        <row r="18">
          <cell r="D18" t="str">
            <v>Salaries &amp; Benefits</v>
          </cell>
          <cell r="E18">
            <v>39124536.64322499</v>
          </cell>
          <cell r="F18">
            <v>41709802.123178996</v>
          </cell>
        </row>
        <row r="19">
          <cell r="A19">
            <v>521201</v>
          </cell>
          <cell r="D19" t="str">
            <v>Consulting/Professional - (521201)</v>
          </cell>
          <cell r="E19">
            <v>15060177.336399999</v>
          </cell>
          <cell r="F19">
            <v>12621373.43</v>
          </cell>
        </row>
        <row r="20">
          <cell r="A20">
            <v>521202</v>
          </cell>
          <cell r="D20" t="str">
            <v>Legal Fees - (521202)</v>
          </cell>
          <cell r="E20">
            <v>1738181</v>
          </cell>
          <cell r="F20">
            <v>1738181</v>
          </cell>
        </row>
        <row r="21">
          <cell r="A21">
            <v>521203</v>
          </cell>
          <cell r="D21" t="str">
            <v>Auditing Fees - (521203)</v>
          </cell>
          <cell r="E21">
            <v>185083</v>
          </cell>
          <cell r="F21">
            <v>185083</v>
          </cell>
        </row>
        <row r="22">
          <cell r="A22">
            <v>521204</v>
          </cell>
          <cell r="D22" t="str">
            <v>Trustee Fees - (521204)</v>
          </cell>
          <cell r="E22">
            <v>280031</v>
          </cell>
          <cell r="F22">
            <v>280031</v>
          </cell>
        </row>
        <row r="23">
          <cell r="A23">
            <v>521207</v>
          </cell>
          <cell r="D23" t="str">
            <v>Traffic Engineering Fees - (521207)</v>
          </cell>
          <cell r="E23">
            <v>450000</v>
          </cell>
          <cell r="F23">
            <v>450000</v>
          </cell>
        </row>
        <row r="24">
          <cell r="A24">
            <v>521208</v>
          </cell>
          <cell r="D24" t="str">
            <v>Police Services (DPS) - (521208)</v>
          </cell>
          <cell r="E24">
            <v>10691041</v>
          </cell>
          <cell r="F24">
            <v>11257879.54</v>
          </cell>
        </row>
        <row r="25">
          <cell r="A25">
            <v>521209</v>
          </cell>
          <cell r="D25" t="str">
            <v>Armored Car Services - (521209)</v>
          </cell>
          <cell r="E25">
            <v>50142</v>
          </cell>
          <cell r="F25">
            <v>50142</v>
          </cell>
        </row>
        <row r="26">
          <cell r="A26">
            <v>523301</v>
          </cell>
          <cell r="D26" t="str">
            <v>Recruitment - (523301)</v>
          </cell>
          <cell r="E26">
            <v>157820</v>
          </cell>
          <cell r="F26">
            <v>75626</v>
          </cell>
        </row>
        <row r="27">
          <cell r="A27">
            <v>523851</v>
          </cell>
          <cell r="D27" t="str">
            <v>Temporary Contract Labor - (523851)</v>
          </cell>
          <cell r="E27">
            <v>14647200.1</v>
          </cell>
          <cell r="F27">
            <v>10512047.01</v>
          </cell>
        </row>
        <row r="28">
          <cell r="D28" t="str">
            <v>Consulting &amp; Professional Services</v>
          </cell>
          <cell r="E28">
            <v>43259675.4364</v>
          </cell>
          <cell r="F28">
            <v>37170362.98</v>
          </cell>
        </row>
        <row r="29">
          <cell r="A29">
            <v>521212</v>
          </cell>
          <cell r="D29" t="str">
            <v>Outside Maintenance Services - (521212)</v>
          </cell>
          <cell r="E29">
            <v>34740336.82</v>
          </cell>
          <cell r="F29">
            <v>33382536.18</v>
          </cell>
        </row>
        <row r="30">
          <cell r="A30">
            <v>522202</v>
          </cell>
          <cell r="D30" t="str">
            <v>Landscaping - (522202)</v>
          </cell>
          <cell r="E30">
            <v>61500</v>
          </cell>
          <cell r="F30">
            <v>41500.26</v>
          </cell>
        </row>
        <row r="31">
          <cell r="A31">
            <v>522301</v>
          </cell>
          <cell r="D31" t="str">
            <v>Rentals - Land - (522301)</v>
          </cell>
          <cell r="E31">
            <v>318752.14</v>
          </cell>
          <cell r="F31">
            <v>423151</v>
          </cell>
        </row>
        <row r="32">
          <cell r="A32">
            <v>522302</v>
          </cell>
          <cell r="D32" t="str">
            <v>Rentals - Equipment - (522302)</v>
          </cell>
          <cell r="E32">
            <v>162754.2</v>
          </cell>
          <cell r="F32">
            <v>81622.26000000001</v>
          </cell>
        </row>
        <row r="33">
          <cell r="A33">
            <v>523801</v>
          </cell>
          <cell r="D33" t="str">
            <v>Licenses - (523801)</v>
          </cell>
          <cell r="E33">
            <v>9664.333331</v>
          </cell>
          <cell r="F33">
            <v>8544.94</v>
          </cell>
        </row>
        <row r="34">
          <cell r="A34">
            <v>531102</v>
          </cell>
          <cell r="D34" t="str">
            <v>Other Materials and Supplies - (531102)</v>
          </cell>
          <cell r="E34">
            <v>3757954</v>
          </cell>
          <cell r="F34">
            <v>4678468.379999999</v>
          </cell>
        </row>
        <row r="35">
          <cell r="A35">
            <v>531107</v>
          </cell>
          <cell r="D35" t="str">
            <v>Motor Fuel Expense - (531107)</v>
          </cell>
          <cell r="E35">
            <v>1223000</v>
          </cell>
          <cell r="F35">
            <v>1811677.69</v>
          </cell>
        </row>
        <row r="36">
          <cell r="A36">
            <v>531211</v>
          </cell>
          <cell r="D36" t="str">
            <v>Water - (531211)</v>
          </cell>
          <cell r="E36">
            <v>883696</v>
          </cell>
          <cell r="F36">
            <v>883696</v>
          </cell>
        </row>
        <row r="37">
          <cell r="A37">
            <v>531221</v>
          </cell>
          <cell r="D37" t="str">
            <v>Gas - (531221)</v>
          </cell>
          <cell r="E37">
            <v>29108</v>
          </cell>
          <cell r="F37">
            <v>29108</v>
          </cell>
        </row>
        <row r="38">
          <cell r="A38">
            <v>531231</v>
          </cell>
          <cell r="D38" t="str">
            <v>Electricity - (531231)</v>
          </cell>
          <cell r="E38">
            <v>2288029</v>
          </cell>
          <cell r="F38">
            <v>1763029</v>
          </cell>
        </row>
        <row r="39">
          <cell r="A39">
            <v>531601</v>
          </cell>
          <cell r="D39" t="str">
            <v>Small Tools and Shop Supplies - (531601)</v>
          </cell>
          <cell r="E39">
            <v>181233.666666</v>
          </cell>
          <cell r="F39">
            <v>177968</v>
          </cell>
        </row>
        <row r="40">
          <cell r="A40">
            <v>531701</v>
          </cell>
          <cell r="D40" t="str">
            <v>Uniforms - (531701)</v>
          </cell>
          <cell r="E40">
            <v>299356</v>
          </cell>
          <cell r="F40">
            <v>291060.78</v>
          </cell>
        </row>
        <row r="41">
          <cell r="A41">
            <v>522201</v>
          </cell>
          <cell r="D41" t="str">
            <v>Repairs and Maintenance - (522201)</v>
          </cell>
          <cell r="E41">
            <v>0</v>
          </cell>
          <cell r="F41">
            <v>0</v>
          </cell>
        </row>
        <row r="42">
          <cell r="D42" t="str">
            <v>Maintenance</v>
          </cell>
          <cell r="E42">
            <v>43955384.159997</v>
          </cell>
          <cell r="F42">
            <v>43572362.489999995</v>
          </cell>
        </row>
        <row r="43">
          <cell r="A43">
            <v>523201</v>
          </cell>
          <cell r="D43" t="str">
            <v>Postage - (523201)</v>
          </cell>
          <cell r="E43">
            <v>12900000</v>
          </cell>
          <cell r="F43">
            <v>9843950.47</v>
          </cell>
        </row>
        <row r="44">
          <cell r="A44">
            <v>523202</v>
          </cell>
          <cell r="D44" t="str">
            <v>Telecommunications - (523202)</v>
          </cell>
          <cell r="E44">
            <v>2154912</v>
          </cell>
          <cell r="F44">
            <v>1468670.35</v>
          </cell>
        </row>
        <row r="45">
          <cell r="A45">
            <v>523701</v>
          </cell>
          <cell r="D45" t="str">
            <v>Education and Training - (523701)</v>
          </cell>
          <cell r="E45">
            <v>171171.18</v>
          </cell>
          <cell r="F45">
            <v>161812.63</v>
          </cell>
        </row>
        <row r="46">
          <cell r="A46">
            <v>531103</v>
          </cell>
          <cell r="D46" t="str">
            <v>Mobile Equipment Expense - (531103)</v>
          </cell>
          <cell r="E46">
            <v>1125022</v>
          </cell>
          <cell r="F46">
            <v>812200.34</v>
          </cell>
        </row>
        <row r="47">
          <cell r="A47">
            <v>531501</v>
          </cell>
          <cell r="D47" t="str">
            <v>Inven for resale(toll tags) - (531501)</v>
          </cell>
          <cell r="E47">
            <v>5950085.21</v>
          </cell>
          <cell r="F47">
            <v>5711651.79</v>
          </cell>
        </row>
        <row r="48">
          <cell r="A48">
            <v>531651</v>
          </cell>
          <cell r="D48" t="str">
            <v>Software - (531651)</v>
          </cell>
          <cell r="E48">
            <v>11584902.989999998</v>
          </cell>
          <cell r="F48">
            <v>11616557.429999998</v>
          </cell>
        </row>
        <row r="49">
          <cell r="A49">
            <v>549991</v>
          </cell>
          <cell r="D49" t="str">
            <v>Cap. Exp Transfer Acct - (549991)</v>
          </cell>
          <cell r="E49">
            <v>0</v>
          </cell>
          <cell r="F49">
            <v>0</v>
          </cell>
        </row>
        <row r="50">
          <cell r="A50">
            <v>573002</v>
          </cell>
          <cell r="D50" t="str">
            <v>Credit Card Fees - (573002)</v>
          </cell>
          <cell r="E50">
            <v>26192602</v>
          </cell>
          <cell r="F50">
            <v>23372922.02</v>
          </cell>
        </row>
        <row r="51">
          <cell r="D51" t="str">
            <v>Operations</v>
          </cell>
          <cell r="E51">
            <v>60078695.379999995</v>
          </cell>
          <cell r="F51">
            <v>52987765.03</v>
          </cell>
        </row>
        <row r="52">
          <cell r="A52">
            <v>523203</v>
          </cell>
          <cell r="D52" t="str">
            <v>Public Information Fees - (523203)</v>
          </cell>
          <cell r="E52">
            <v>13369</v>
          </cell>
          <cell r="F52">
            <v>13369</v>
          </cell>
        </row>
        <row r="53">
          <cell r="A53">
            <v>523302</v>
          </cell>
          <cell r="D53" t="str">
            <v>Magazine and Newspaper - (523302)</v>
          </cell>
          <cell r="E53">
            <v>1714481.41</v>
          </cell>
          <cell r="F53">
            <v>1368782</v>
          </cell>
        </row>
        <row r="54">
          <cell r="A54">
            <v>523303</v>
          </cell>
          <cell r="D54" t="str">
            <v>Television &amp; Radio - (523303)</v>
          </cell>
          <cell r="E54">
            <v>1250499</v>
          </cell>
          <cell r="F54">
            <v>950499</v>
          </cell>
        </row>
        <row r="55">
          <cell r="A55">
            <v>523304</v>
          </cell>
          <cell r="D55" t="str">
            <v>Promotional Expenses - (523304)</v>
          </cell>
          <cell r="E55">
            <v>1576790.43</v>
          </cell>
          <cell r="F55">
            <v>1384928</v>
          </cell>
        </row>
        <row r="56">
          <cell r="A56">
            <v>523401</v>
          </cell>
          <cell r="D56" t="str">
            <v>Printing and Photographic - (523401)</v>
          </cell>
          <cell r="E56">
            <v>161266</v>
          </cell>
          <cell r="F56">
            <v>93480</v>
          </cell>
        </row>
        <row r="57">
          <cell r="A57">
            <v>523402</v>
          </cell>
          <cell r="D57" t="str">
            <v>Maps &amp; Pamphlets - (523402)</v>
          </cell>
          <cell r="E57">
            <v>16155</v>
          </cell>
          <cell r="F57">
            <v>16155</v>
          </cell>
        </row>
        <row r="58">
          <cell r="D58" t="str">
            <v>Business &amp; Marketing</v>
          </cell>
          <cell r="E58">
            <v>4732560.84</v>
          </cell>
          <cell r="F58">
            <v>3827213</v>
          </cell>
        </row>
        <row r="59">
          <cell r="A59">
            <v>521101</v>
          </cell>
          <cell r="D59" t="str">
            <v>Meeting Expense - (521101)</v>
          </cell>
          <cell r="E59">
            <v>95402.13</v>
          </cell>
          <cell r="F59">
            <v>91271.85</v>
          </cell>
        </row>
        <row r="60">
          <cell r="A60">
            <v>523101</v>
          </cell>
          <cell r="D60" t="str">
            <v>Insurance Expense - Other - (523101)</v>
          </cell>
          <cell r="E60">
            <v>3977708</v>
          </cell>
          <cell r="F60">
            <v>2896956.67</v>
          </cell>
        </row>
        <row r="61">
          <cell r="A61">
            <v>523305</v>
          </cell>
          <cell r="D61" t="str">
            <v>Employee Appreciation - (523305)</v>
          </cell>
          <cell r="E61">
            <v>331</v>
          </cell>
          <cell r="F61">
            <v>331</v>
          </cell>
        </row>
        <row r="62">
          <cell r="A62">
            <v>523501</v>
          </cell>
          <cell r="D62" t="str">
            <v>Travel - (523501)</v>
          </cell>
          <cell r="E62">
            <v>110868.29</v>
          </cell>
          <cell r="F62">
            <v>68554.25</v>
          </cell>
        </row>
        <row r="63">
          <cell r="A63">
            <v>523601</v>
          </cell>
          <cell r="D63" t="str">
            <v>Dues &amp; Subscriptions - (523601)</v>
          </cell>
          <cell r="E63">
            <v>303003.05</v>
          </cell>
          <cell r="F63">
            <v>282134.11</v>
          </cell>
        </row>
        <row r="64">
          <cell r="A64">
            <v>523902</v>
          </cell>
          <cell r="D64" t="str">
            <v>Liability Claims - (523902)</v>
          </cell>
          <cell r="E64">
            <v>6182</v>
          </cell>
          <cell r="F64">
            <v>6182</v>
          </cell>
        </row>
        <row r="65">
          <cell r="A65">
            <v>531101</v>
          </cell>
          <cell r="D65" t="str">
            <v>Office Supplies - (531101)</v>
          </cell>
          <cell r="E65">
            <v>424410</v>
          </cell>
          <cell r="F65">
            <v>525001.1900000001</v>
          </cell>
        </row>
        <row r="66">
          <cell r="A66">
            <v>531105</v>
          </cell>
          <cell r="D66" t="str">
            <v>Freight and Express - (531105)</v>
          </cell>
          <cell r="E66">
            <v>12169.3</v>
          </cell>
          <cell r="F66">
            <v>5453.51</v>
          </cell>
        </row>
        <row r="67">
          <cell r="A67">
            <v>531401</v>
          </cell>
          <cell r="D67" t="str">
            <v>Books &amp; Periodicals - (531401)</v>
          </cell>
          <cell r="E67">
            <v>250</v>
          </cell>
          <cell r="F67">
            <v>0</v>
          </cell>
        </row>
        <row r="68">
          <cell r="A68">
            <v>573001</v>
          </cell>
          <cell r="D68" t="str">
            <v>Bank Charges - (573001)</v>
          </cell>
          <cell r="E68">
            <v>555225.69</v>
          </cell>
          <cell r="F68">
            <v>513269.23</v>
          </cell>
        </row>
        <row r="69">
          <cell r="A69">
            <v>521205</v>
          </cell>
          <cell r="D69" t="str">
            <v>Rating Agency Fees - (521205)</v>
          </cell>
          <cell r="E69">
            <v>0</v>
          </cell>
          <cell r="F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81"/>
  <sheetViews>
    <sheetView showGridLines="0" tabSelected="1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L83" sqref="L83"/>
    </sheetView>
  </sheetViews>
  <sheetFormatPr defaultColWidth="9.140625" defaultRowHeight="15" outlineLevelRow="1"/>
  <cols>
    <col min="1" max="1" width="9.140625" style="5" customWidth="1"/>
    <col min="2" max="2" width="36.140625" style="5" customWidth="1"/>
    <col min="3" max="4" width="12.28125" style="5" customWidth="1"/>
    <col min="5" max="5" width="8.57421875" style="5" customWidth="1"/>
    <col min="6" max="7" width="10.140625" style="5" customWidth="1"/>
    <col min="8" max="8" width="12.140625" style="5" customWidth="1"/>
    <col min="9" max="9" width="11.7109375" style="5" customWidth="1"/>
    <col min="10" max="10" width="12.421875" style="5" customWidth="1"/>
    <col min="11" max="11" width="12.28125" style="5" customWidth="1"/>
    <col min="12" max="12" width="12.421875" style="5" customWidth="1"/>
    <col min="13" max="15" width="11.140625" style="5" customWidth="1"/>
    <col min="16" max="16" width="12.7109375" style="5" customWidth="1" collapsed="1"/>
    <col min="17" max="17" width="12.421875" style="5" customWidth="1"/>
    <col min="18" max="18" width="12.28125" style="5" customWidth="1"/>
    <col min="19" max="19" width="13.28125" style="5" bestFit="1" customWidth="1"/>
    <col min="20" max="20" width="12.8515625" style="5" bestFit="1" customWidth="1"/>
    <col min="21" max="21" width="12.140625" style="5" bestFit="1" customWidth="1"/>
    <col min="22" max="22" width="11.57421875" style="5" customWidth="1"/>
    <col min="23" max="16384" width="9.140625" style="5" customWidth="1"/>
  </cols>
  <sheetData>
    <row r="2" spans="2:22" ht="1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5"/>
      <c r="V2" s="15"/>
    </row>
    <row r="3" spans="2:22" ht="1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  <c r="V3" s="15"/>
    </row>
    <row r="4" spans="2:22" ht="1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5"/>
      <c r="V4" s="15"/>
    </row>
    <row r="5" spans="2:22" ht="1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/>
      <c r="V5" s="15"/>
    </row>
    <row r="6" spans="2:22" ht="15">
      <c r="B6" s="17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52"/>
      <c r="T6" s="17"/>
      <c r="U6" s="15"/>
      <c r="V6" s="15"/>
    </row>
    <row r="7" spans="2:22" ht="15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5"/>
      <c r="V7" s="15"/>
    </row>
    <row r="8" spans="2:20" ht="12.75" customHeight="1" hidden="1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2:20" ht="15" hidden="1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2:22" s="11" customFormat="1" ht="33.75" customHeight="1">
      <c r="B10" s="7" t="s">
        <v>12</v>
      </c>
      <c r="C10" s="8" t="s">
        <v>15</v>
      </c>
      <c r="D10" s="8" t="s">
        <v>1</v>
      </c>
      <c r="E10" s="8" t="s">
        <v>2</v>
      </c>
      <c r="F10" s="8" t="s">
        <v>3</v>
      </c>
      <c r="G10" s="8" t="s">
        <v>4</v>
      </c>
      <c r="H10" s="8" t="s">
        <v>5</v>
      </c>
      <c r="I10" s="8" t="s">
        <v>14</v>
      </c>
      <c r="J10" s="8" t="s">
        <v>6</v>
      </c>
      <c r="K10" s="8" t="s">
        <v>7</v>
      </c>
      <c r="L10" s="8" t="s">
        <v>20</v>
      </c>
      <c r="M10" s="8" t="s">
        <v>16</v>
      </c>
      <c r="N10" s="8" t="s">
        <v>8</v>
      </c>
      <c r="O10" s="8" t="s">
        <v>9</v>
      </c>
      <c r="P10" s="8" t="s">
        <v>10</v>
      </c>
      <c r="Q10" s="8" t="s">
        <v>11</v>
      </c>
      <c r="R10" s="8" t="s">
        <v>76</v>
      </c>
      <c r="S10" s="39" t="s">
        <v>79</v>
      </c>
      <c r="T10" s="39" t="s">
        <v>77</v>
      </c>
      <c r="U10" s="9" t="s">
        <v>21</v>
      </c>
      <c r="V10" s="10" t="s">
        <v>22</v>
      </c>
    </row>
    <row r="11" spans="2:22" ht="3" customHeight="1" thickBot="1">
      <c r="B11" s="19"/>
      <c r="C11" s="20"/>
      <c r="D11" s="20"/>
      <c r="E11" s="20"/>
      <c r="F11" s="20"/>
      <c r="G11" s="20"/>
      <c r="H11" s="20"/>
      <c r="I11" s="20"/>
      <c r="J11" s="20"/>
      <c r="K11" s="1"/>
      <c r="L11" s="1"/>
      <c r="M11" s="20"/>
      <c r="N11" s="20"/>
      <c r="O11" s="20"/>
      <c r="P11" s="20"/>
      <c r="Q11" s="20"/>
      <c r="R11" s="1"/>
      <c r="S11" s="1"/>
      <c r="T11" s="1"/>
      <c r="U11" s="1"/>
      <c r="V11" s="1"/>
    </row>
    <row r="12" spans="1:22" ht="12" customHeight="1" outlineLevel="1">
      <c r="A12" s="48">
        <v>511101</v>
      </c>
      <c r="B12" s="21" t="s">
        <v>66</v>
      </c>
      <c r="C12" s="22">
        <v>1529434.4352</v>
      </c>
      <c r="D12" s="22">
        <v>426350.5714</v>
      </c>
      <c r="E12" s="22">
        <v>89990.2174</v>
      </c>
      <c r="F12" s="22">
        <v>1108343.62335</v>
      </c>
      <c r="G12" s="22">
        <v>744266.8478428643</v>
      </c>
      <c r="H12" s="22">
        <v>852927.3203</v>
      </c>
      <c r="I12" s="22">
        <v>1309550.7866500001</v>
      </c>
      <c r="J12" s="22">
        <v>1453160.6124500001</v>
      </c>
      <c r="K12" s="16">
        <f>-2742526+1500000-1</f>
        <v>-1242527</v>
      </c>
      <c r="L12" s="2">
        <v>952758.9552</v>
      </c>
      <c r="M12" s="22">
        <f>VLOOKUP(A12,'[1]Cust Svc Center '!$A$13:$D$32,4,0)</f>
        <v>12694953</v>
      </c>
      <c r="N12" s="22">
        <f>8234681.43706296+415248</f>
        <v>8649929.43706296</v>
      </c>
      <c r="O12" s="22">
        <f>7915958.70782416+1302120</f>
        <v>9218078.70782416</v>
      </c>
      <c r="P12" s="22">
        <v>1113031.6349</v>
      </c>
      <c r="Q12" s="22">
        <v>2273834.575968331</v>
      </c>
      <c r="R12" s="22">
        <f>6358281.61223666+428388</f>
        <v>6786669.61223666</v>
      </c>
      <c r="S12" s="2">
        <f>SUM(C12:R12)</f>
        <v>47960753.337784976</v>
      </c>
      <c r="T12" s="2">
        <f>VLOOKUP(A12,'[2]Estimated Bud by Dept'!$A$4:$F$69,6,0)</f>
        <v>46618114.97</v>
      </c>
      <c r="U12" s="16">
        <f aca="true" t="shared" si="0" ref="U12:U22">S12-T12</f>
        <v>1342638.367784977</v>
      </c>
      <c r="V12" s="35">
        <f aca="true" t="shared" si="1" ref="V12:V22">IF(T12=0,100%,U12/T12)</f>
        <v>0.02880078631770076</v>
      </c>
    </row>
    <row r="13" spans="1:22" ht="12" customHeight="1" outlineLevel="1">
      <c r="A13" s="49">
        <v>511202</v>
      </c>
      <c r="B13" s="21" t="s">
        <v>67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4">
        <v>0</v>
      </c>
      <c r="L13" s="4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4">
        <f aca="true" t="shared" si="2" ref="S13:S22">SUM(C13:R13)</f>
        <v>0</v>
      </c>
      <c r="T13" s="4">
        <v>0</v>
      </c>
      <c r="U13" s="46">
        <f t="shared" si="0"/>
        <v>0</v>
      </c>
      <c r="V13" s="35">
        <v>0</v>
      </c>
    </row>
    <row r="14" spans="1:22" ht="12" customHeight="1" outlineLevel="1">
      <c r="A14" s="49">
        <v>511301</v>
      </c>
      <c r="B14" s="21" t="s">
        <v>68</v>
      </c>
      <c r="C14" s="23">
        <v>0</v>
      </c>
      <c r="D14" s="23">
        <v>0</v>
      </c>
      <c r="E14" s="23">
        <v>0</v>
      </c>
      <c r="F14" s="23">
        <v>144</v>
      </c>
      <c r="G14" s="23">
        <v>0</v>
      </c>
      <c r="H14" s="23">
        <v>0</v>
      </c>
      <c r="I14" s="23">
        <v>0</v>
      </c>
      <c r="J14" s="23">
        <v>721</v>
      </c>
      <c r="K14" s="4">
        <v>0</v>
      </c>
      <c r="L14" s="4">
        <v>0</v>
      </c>
      <c r="M14" s="23">
        <f>VLOOKUP(A14,'[1]Cust Svc Center '!$A$13:$D$32,4,0)</f>
        <v>343020.43000000005</v>
      </c>
      <c r="N14" s="23">
        <v>88215.21</v>
      </c>
      <c r="O14" s="23">
        <v>309305.83999999997</v>
      </c>
      <c r="P14" s="23">
        <v>0</v>
      </c>
      <c r="Q14" s="23">
        <v>0</v>
      </c>
      <c r="R14" s="23">
        <v>23270</v>
      </c>
      <c r="S14" s="4">
        <f t="shared" si="2"/>
        <v>764676.48</v>
      </c>
      <c r="T14" s="4">
        <v>811848.97</v>
      </c>
      <c r="U14" s="46">
        <f t="shared" si="0"/>
        <v>-47172.48999999999</v>
      </c>
      <c r="V14" s="35">
        <f t="shared" si="1"/>
        <v>-0.05810500689555594</v>
      </c>
    </row>
    <row r="15" spans="1:22" ht="12" customHeight="1" outlineLevel="1">
      <c r="A15" s="49">
        <v>512101</v>
      </c>
      <c r="B15" s="21" t="s">
        <v>69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4">
        <v>4884587</v>
      </c>
      <c r="L15" s="4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4">
        <f t="shared" si="2"/>
        <v>4884587</v>
      </c>
      <c r="T15" s="4">
        <v>9494854.8</v>
      </c>
      <c r="U15" s="46">
        <f t="shared" si="0"/>
        <v>-4610267.800000001</v>
      </c>
      <c r="V15" s="35">
        <f>IF(T15=0,100%,U15/T15)</f>
        <v>-0.4855543235900775</v>
      </c>
    </row>
    <row r="16" spans="1:22" ht="12" customHeight="1" outlineLevel="1">
      <c r="A16" s="49">
        <v>512401</v>
      </c>
      <c r="B16" s="21" t="s">
        <v>70</v>
      </c>
      <c r="C16" s="23">
        <v>226403.831794</v>
      </c>
      <c r="D16" s="23">
        <v>47352.016681</v>
      </c>
      <c r="E16" s="23">
        <v>14092.237845</v>
      </c>
      <c r="F16" s="23">
        <v>172316.220293</v>
      </c>
      <c r="G16" s="23">
        <v>112714.82258313565</v>
      </c>
      <c r="H16" s="23">
        <v>119122.714681</v>
      </c>
      <c r="I16" s="23">
        <v>205075.74398799997</v>
      </c>
      <c r="J16" s="23">
        <v>227564.938209</v>
      </c>
      <c r="K16" s="4">
        <v>0</v>
      </c>
      <c r="L16" s="4">
        <v>149201.886985</v>
      </c>
      <c r="M16" s="23">
        <f>VLOOKUP(A16,'[1]Cust Svc Center '!$A$13:$D$32,4,0)</f>
        <v>2004658</v>
      </c>
      <c r="N16" s="23">
        <v>1354578.5902150397</v>
      </c>
      <c r="O16" s="23">
        <v>1443551.2397748441</v>
      </c>
      <c r="P16" s="23">
        <v>163268.603435</v>
      </c>
      <c r="Q16" s="23">
        <v>340128.80644766876</v>
      </c>
      <c r="R16" s="23">
        <v>1062791.6889083376</v>
      </c>
      <c r="S16" s="4">
        <f>SUM(C16:R16)</f>
        <v>7642821.341840027</v>
      </c>
      <c r="T16" s="4">
        <v>6020586.383179</v>
      </c>
      <c r="U16" s="46">
        <f t="shared" si="0"/>
        <v>1622234.9586610273</v>
      </c>
      <c r="V16" s="35">
        <f t="shared" si="1"/>
        <v>0.26944799981500345</v>
      </c>
    </row>
    <row r="17" spans="1:22" ht="12" customHeight="1" outlineLevel="1">
      <c r="A17" s="49">
        <v>512402</v>
      </c>
      <c r="B17" s="21" t="s">
        <v>71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4">
        <v>0</v>
      </c>
      <c r="J17" s="23">
        <v>0</v>
      </c>
      <c r="K17" s="4">
        <v>0</v>
      </c>
      <c r="L17" s="4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4">
        <f t="shared" si="2"/>
        <v>0</v>
      </c>
      <c r="T17" s="4">
        <v>0</v>
      </c>
      <c r="U17" s="46">
        <f t="shared" si="0"/>
        <v>0</v>
      </c>
      <c r="V17" s="35">
        <v>0</v>
      </c>
    </row>
    <row r="18" spans="1:22" ht="12" customHeight="1" outlineLevel="1">
      <c r="A18" s="49">
        <v>512501</v>
      </c>
      <c r="B18" s="21" t="s">
        <v>72</v>
      </c>
      <c r="C18" s="23">
        <v>0</v>
      </c>
      <c r="D18" s="23">
        <v>0</v>
      </c>
      <c r="E18" s="23">
        <v>0</v>
      </c>
      <c r="F18" s="23">
        <v>11770</v>
      </c>
      <c r="G18" s="23">
        <v>0</v>
      </c>
      <c r="H18" s="23">
        <v>0</v>
      </c>
      <c r="I18" s="23">
        <v>0</v>
      </c>
      <c r="J18" s="23">
        <v>0</v>
      </c>
      <c r="K18" s="4">
        <v>0</v>
      </c>
      <c r="L18" s="4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4">
        <f t="shared" si="2"/>
        <v>11770</v>
      </c>
      <c r="T18" s="4">
        <v>11770</v>
      </c>
      <c r="U18" s="46">
        <f t="shared" si="0"/>
        <v>0</v>
      </c>
      <c r="V18" s="35">
        <f t="shared" si="1"/>
        <v>0</v>
      </c>
    </row>
    <row r="19" spans="1:22" ht="12" customHeight="1" outlineLevel="1">
      <c r="A19" s="49">
        <v>512601</v>
      </c>
      <c r="B19" s="21" t="s">
        <v>73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4">
        <v>123661</v>
      </c>
      <c r="L19" s="4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4">
        <f t="shared" si="2"/>
        <v>123661</v>
      </c>
      <c r="T19" s="4">
        <v>123661</v>
      </c>
      <c r="U19" s="46">
        <f t="shared" si="0"/>
        <v>0</v>
      </c>
      <c r="V19" s="35">
        <f t="shared" si="1"/>
        <v>0</v>
      </c>
    </row>
    <row r="20" spans="1:22" ht="12" customHeight="1" outlineLevel="1">
      <c r="A20" s="49">
        <v>512602</v>
      </c>
      <c r="B20" s="21" t="s">
        <v>74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4">
        <v>0</v>
      </c>
      <c r="L20" s="4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4">
        <f t="shared" si="2"/>
        <v>0</v>
      </c>
      <c r="T20" s="4">
        <v>0</v>
      </c>
      <c r="U20" s="46">
        <f t="shared" si="0"/>
        <v>0</v>
      </c>
      <c r="V20" s="35">
        <v>0</v>
      </c>
    </row>
    <row r="21" spans="1:22" ht="12" customHeight="1" outlineLevel="1">
      <c r="A21" s="48" t="s">
        <v>81</v>
      </c>
      <c r="B21" s="21" t="s">
        <v>78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4">
        <f>SUM(C21:R21)</f>
        <v>0</v>
      </c>
      <c r="T21" s="4">
        <v>0</v>
      </c>
      <c r="U21" s="46">
        <f t="shared" si="0"/>
        <v>0</v>
      </c>
      <c r="V21" s="35">
        <v>0</v>
      </c>
    </row>
    <row r="22" spans="1:22" ht="12" customHeight="1" outlineLevel="1">
      <c r="A22" s="49">
        <v>512701</v>
      </c>
      <c r="B22" s="21" t="s">
        <v>75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4">
        <v>251522</v>
      </c>
      <c r="L22" s="4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4">
        <f t="shared" si="2"/>
        <v>251522</v>
      </c>
      <c r="T22" s="4">
        <v>237285</v>
      </c>
      <c r="U22" s="46">
        <f t="shared" si="0"/>
        <v>14237</v>
      </c>
      <c r="V22" s="35">
        <f t="shared" si="1"/>
        <v>0.05999957856585962</v>
      </c>
    </row>
    <row r="23" spans="1:22" s="12" customFormat="1" ht="12" customHeight="1" outlineLevel="1">
      <c r="A23" s="50"/>
      <c r="B23" s="25" t="s">
        <v>0</v>
      </c>
      <c r="C23" s="26">
        <f aca="true" t="shared" si="3" ref="C23:U23">SUM(C12:C22)</f>
        <v>1755838.266994</v>
      </c>
      <c r="D23" s="26">
        <f t="shared" si="3"/>
        <v>473702.588081</v>
      </c>
      <c r="E23" s="26">
        <f t="shared" si="3"/>
        <v>104082.45524499999</v>
      </c>
      <c r="F23" s="26">
        <f t="shared" si="3"/>
        <v>1292573.843643</v>
      </c>
      <c r="G23" s="26">
        <f t="shared" si="3"/>
        <v>856981.670426</v>
      </c>
      <c r="H23" s="26">
        <f t="shared" si="3"/>
        <v>972050.034981</v>
      </c>
      <c r="I23" s="26">
        <f t="shared" si="3"/>
        <v>1514626.530638</v>
      </c>
      <c r="J23" s="26">
        <f t="shared" si="3"/>
        <v>1681446.5506590002</v>
      </c>
      <c r="K23" s="26">
        <f t="shared" si="3"/>
        <v>4017243</v>
      </c>
      <c r="L23" s="26">
        <f t="shared" si="3"/>
        <v>1101960.842185</v>
      </c>
      <c r="M23" s="26">
        <f t="shared" si="3"/>
        <v>15042631.43</v>
      </c>
      <c r="N23" s="26">
        <f t="shared" si="3"/>
        <v>10092723.237278001</v>
      </c>
      <c r="O23" s="26">
        <f t="shared" si="3"/>
        <v>10970935.787599003</v>
      </c>
      <c r="P23" s="26">
        <f t="shared" si="3"/>
        <v>1276300.238335</v>
      </c>
      <c r="Q23" s="26">
        <f t="shared" si="3"/>
        <v>2613963.382416</v>
      </c>
      <c r="R23" s="26">
        <f t="shared" si="3"/>
        <v>7872731.301144998</v>
      </c>
      <c r="S23" s="26">
        <f t="shared" si="3"/>
        <v>61639791.159625</v>
      </c>
      <c r="T23" s="26">
        <f t="shared" si="3"/>
        <v>63318121.123178996</v>
      </c>
      <c r="U23" s="47">
        <f t="shared" si="3"/>
        <v>-1678329.9635539968</v>
      </c>
      <c r="V23" s="43">
        <f>IF(T23=0,100%,U23/T23)</f>
        <v>-0.026506313418381063</v>
      </c>
    </row>
    <row r="24" spans="1:22" ht="12" customHeight="1" outlineLevel="1">
      <c r="A24" s="49">
        <v>521201</v>
      </c>
      <c r="B24" s="21" t="s">
        <v>39</v>
      </c>
      <c r="C24" s="23">
        <v>710</v>
      </c>
      <c r="D24" s="23">
        <v>60000</v>
      </c>
      <c r="E24" s="23">
        <v>0</v>
      </c>
      <c r="F24" s="23">
        <v>235251</v>
      </c>
      <c r="G24" s="23">
        <f>49999.85+50000</f>
        <v>99999.85</v>
      </c>
      <c r="H24" s="23">
        <v>0</v>
      </c>
      <c r="I24" s="23">
        <v>0</v>
      </c>
      <c r="J24" s="23">
        <v>1797950</v>
      </c>
      <c r="K24" s="4">
        <v>42000</v>
      </c>
      <c r="L24" s="4">
        <v>320992</v>
      </c>
      <c r="M24" s="23">
        <f>VLOOKUP(A24,'[1]Cust Svc Center '!$A$13:$D$32,4,0)</f>
        <v>14793923</v>
      </c>
      <c r="N24" s="23">
        <v>0</v>
      </c>
      <c r="O24" s="23">
        <v>400000</v>
      </c>
      <c r="P24" s="23">
        <v>64000</v>
      </c>
      <c r="Q24" s="23">
        <v>0</v>
      </c>
      <c r="R24" s="23">
        <v>46459</v>
      </c>
      <c r="S24" s="4">
        <f aca="true" t="shared" si="4" ref="S24:S32">SUM(C24:R24)</f>
        <v>17861284.85</v>
      </c>
      <c r="T24" s="4">
        <v>12621373.43</v>
      </c>
      <c r="U24" s="46">
        <f aca="true" t="shared" si="5" ref="U24:U32">S24-T24</f>
        <v>5239911.420000002</v>
      </c>
      <c r="V24" s="35">
        <f aca="true" t="shared" si="6" ref="V24:V32">IF(T24=0,100%,U24/T24)</f>
        <v>0.4151617451984385</v>
      </c>
    </row>
    <row r="25" spans="1:22" ht="12" customHeight="1" outlineLevel="1">
      <c r="A25" s="49">
        <v>521202</v>
      </c>
      <c r="B25" s="21" t="s">
        <v>40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1738181</v>
      </c>
      <c r="I25" s="23">
        <v>0</v>
      </c>
      <c r="J25" s="23">
        <v>0</v>
      </c>
      <c r="K25" s="4">
        <v>0</v>
      </c>
      <c r="L25" s="4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4">
        <f t="shared" si="4"/>
        <v>1738181</v>
      </c>
      <c r="T25" s="4">
        <v>1738181</v>
      </c>
      <c r="U25" s="46">
        <f t="shared" si="5"/>
        <v>0</v>
      </c>
      <c r="V25" s="35">
        <f t="shared" si="6"/>
        <v>0</v>
      </c>
    </row>
    <row r="26" spans="1:22" ht="12" customHeight="1" outlineLevel="1">
      <c r="A26" s="49">
        <v>521203</v>
      </c>
      <c r="B26" s="21" t="s">
        <v>41</v>
      </c>
      <c r="C26" s="23">
        <v>0</v>
      </c>
      <c r="D26" s="23">
        <v>0</v>
      </c>
      <c r="E26" s="23">
        <v>0</v>
      </c>
      <c r="F26" s="23">
        <v>0</v>
      </c>
      <c r="G26" s="23">
        <v>185083</v>
      </c>
      <c r="H26" s="23">
        <v>0</v>
      </c>
      <c r="I26" s="23">
        <v>0</v>
      </c>
      <c r="J26" s="23">
        <v>0</v>
      </c>
      <c r="K26" s="4">
        <v>0</v>
      </c>
      <c r="L26" s="4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4">
        <f t="shared" si="4"/>
        <v>185083</v>
      </c>
      <c r="T26" s="4">
        <v>185083</v>
      </c>
      <c r="U26" s="46">
        <f t="shared" si="5"/>
        <v>0</v>
      </c>
      <c r="V26" s="35">
        <f t="shared" si="6"/>
        <v>0</v>
      </c>
    </row>
    <row r="27" spans="1:22" ht="12" customHeight="1" outlineLevel="1">
      <c r="A27" s="49">
        <v>521204</v>
      </c>
      <c r="B27" s="21" t="s">
        <v>42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4">
        <v>0</v>
      </c>
      <c r="L27" s="4">
        <v>280031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4">
        <f t="shared" si="4"/>
        <v>280031</v>
      </c>
      <c r="T27" s="4">
        <v>280031</v>
      </c>
      <c r="U27" s="46">
        <f t="shared" si="5"/>
        <v>0</v>
      </c>
      <c r="V27" s="35">
        <f t="shared" si="6"/>
        <v>0</v>
      </c>
    </row>
    <row r="28" spans="1:22" ht="12" customHeight="1" outlineLevel="1">
      <c r="A28" s="49">
        <v>521207</v>
      </c>
      <c r="B28" s="21" t="s">
        <v>43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4">
        <v>0</v>
      </c>
      <c r="L28" s="4">
        <f>450000+150000</f>
        <v>600000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4">
        <f t="shared" si="4"/>
        <v>600000</v>
      </c>
      <c r="T28" s="4">
        <v>450000</v>
      </c>
      <c r="U28" s="46">
        <f t="shared" si="5"/>
        <v>150000</v>
      </c>
      <c r="V28" s="35">
        <f t="shared" si="6"/>
        <v>0.3333333333333333</v>
      </c>
    </row>
    <row r="29" spans="1:22" ht="12" customHeight="1" outlineLevel="1">
      <c r="A29" s="49">
        <v>521208</v>
      </c>
      <c r="B29" s="21" t="s">
        <v>44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4">
        <v>0</v>
      </c>
      <c r="L29" s="4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10691041</v>
      </c>
      <c r="S29" s="4">
        <f t="shared" si="4"/>
        <v>10691041</v>
      </c>
      <c r="T29" s="4">
        <v>11257879.54</v>
      </c>
      <c r="U29" s="46">
        <f t="shared" si="5"/>
        <v>-566838.5399999991</v>
      </c>
      <c r="V29" s="35">
        <f>IF(T29=0,100%,U29/T29)</f>
        <v>-0.050350382413134186</v>
      </c>
    </row>
    <row r="30" spans="1:22" ht="12" customHeight="1" outlineLevel="1">
      <c r="A30" s="49">
        <v>521209</v>
      </c>
      <c r="B30" s="21" t="s">
        <v>45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4">
        <v>0</v>
      </c>
      <c r="L30" s="4">
        <v>0</v>
      </c>
      <c r="M30" s="23">
        <f>VLOOKUP(A30,'[1]Cust Svc Center '!$A$13:$D$32,4,0)</f>
        <v>50142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4">
        <f t="shared" si="4"/>
        <v>50142</v>
      </c>
      <c r="T30" s="4">
        <v>50142</v>
      </c>
      <c r="U30" s="46">
        <f t="shared" si="5"/>
        <v>0</v>
      </c>
      <c r="V30" s="35">
        <f t="shared" si="6"/>
        <v>0</v>
      </c>
    </row>
    <row r="31" spans="1:22" ht="12" customHeight="1">
      <c r="A31" s="49">
        <v>523301</v>
      </c>
      <c r="B31" s="33" t="s">
        <v>25</v>
      </c>
      <c r="C31" s="23">
        <v>0</v>
      </c>
      <c r="D31" s="23">
        <v>0</v>
      </c>
      <c r="E31" s="23">
        <v>0</v>
      </c>
      <c r="F31" s="23">
        <v>157820</v>
      </c>
      <c r="G31" s="23">
        <v>0</v>
      </c>
      <c r="H31" s="23">
        <v>0</v>
      </c>
      <c r="I31" s="23">
        <v>0</v>
      </c>
      <c r="J31" s="23">
        <v>0</v>
      </c>
      <c r="K31" s="4">
        <v>0</v>
      </c>
      <c r="L31" s="4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4">
        <f t="shared" si="4"/>
        <v>157820</v>
      </c>
      <c r="T31" s="4">
        <v>75626</v>
      </c>
      <c r="U31" s="46">
        <f t="shared" si="5"/>
        <v>82194</v>
      </c>
      <c r="V31" s="35">
        <f t="shared" si="6"/>
        <v>1.086848438367757</v>
      </c>
    </row>
    <row r="32" spans="1:22" ht="12" customHeight="1" outlineLevel="1">
      <c r="A32" s="49">
        <v>523851</v>
      </c>
      <c r="B32" s="21" t="s">
        <v>47</v>
      </c>
      <c r="C32" s="23">
        <v>0</v>
      </c>
      <c r="D32" s="23">
        <v>0</v>
      </c>
      <c r="E32" s="23">
        <v>0</v>
      </c>
      <c r="F32" s="23">
        <v>6366</v>
      </c>
      <c r="G32" s="23">
        <v>0</v>
      </c>
      <c r="H32" s="23">
        <v>0</v>
      </c>
      <c r="I32" s="23">
        <v>0</v>
      </c>
      <c r="J32" s="23">
        <v>0</v>
      </c>
      <c r="K32" s="4">
        <v>0</v>
      </c>
      <c r="L32" s="4">
        <v>0</v>
      </c>
      <c r="M32" s="23">
        <f>VLOOKUP(A32,'[1]Cust Svc Center '!$A$13:$D$32,4,0)</f>
        <v>16000000</v>
      </c>
      <c r="N32" s="23">
        <v>90000</v>
      </c>
      <c r="O32" s="23">
        <v>77000</v>
      </c>
      <c r="P32" s="23">
        <v>0</v>
      </c>
      <c r="Q32" s="23">
        <v>0</v>
      </c>
      <c r="R32" s="23">
        <v>0</v>
      </c>
      <c r="S32" s="4">
        <f t="shared" si="4"/>
        <v>16173366</v>
      </c>
      <c r="T32" s="4">
        <v>10512047.01</v>
      </c>
      <c r="U32" s="46">
        <f t="shared" si="5"/>
        <v>5661318.99</v>
      </c>
      <c r="V32" s="35">
        <f t="shared" si="6"/>
        <v>0.5385553341432403</v>
      </c>
    </row>
    <row r="33" spans="1:22" s="13" customFormat="1" ht="12" customHeight="1" outlineLevel="1">
      <c r="A33" s="51"/>
      <c r="B33" s="25" t="s">
        <v>17</v>
      </c>
      <c r="C33" s="26">
        <f>SUM(C24:C32)</f>
        <v>710</v>
      </c>
      <c r="D33" s="26">
        <f>SUM(D24:D32)</f>
        <v>60000</v>
      </c>
      <c r="E33" s="26">
        <f>SUM(E24:E32)</f>
        <v>0</v>
      </c>
      <c r="F33" s="26">
        <f>SUM(F24:F32)</f>
        <v>399437</v>
      </c>
      <c r="G33" s="26">
        <f>SUM(G24:G32)</f>
        <v>285082.85</v>
      </c>
      <c r="H33" s="26">
        <f>SUM(H24:H32)</f>
        <v>1738181</v>
      </c>
      <c r="I33" s="26">
        <f>SUM(I24:I32)</f>
        <v>0</v>
      </c>
      <c r="J33" s="26">
        <f>SUM(J24:J32)</f>
        <v>1797950</v>
      </c>
      <c r="K33" s="26">
        <f>SUM(K24:K32)</f>
        <v>42000</v>
      </c>
      <c r="L33" s="26">
        <f>SUM(L24:L32)</f>
        <v>1201023</v>
      </c>
      <c r="M33" s="26">
        <f>SUM(M24:M32)</f>
        <v>30844065</v>
      </c>
      <c r="N33" s="26">
        <f>SUM(N24:N32)</f>
        <v>90000</v>
      </c>
      <c r="O33" s="26">
        <f>SUM(O24:O32)</f>
        <v>477000</v>
      </c>
      <c r="P33" s="26">
        <f>SUM(P24:P32)</f>
        <v>64000</v>
      </c>
      <c r="Q33" s="26">
        <f>SUM(Q24:Q32)</f>
        <v>0</v>
      </c>
      <c r="R33" s="26">
        <f>SUM(R24:R32)</f>
        <v>10737500</v>
      </c>
      <c r="S33" s="26">
        <f>SUM(S24:S32)</f>
        <v>47736948.85</v>
      </c>
      <c r="T33" s="26">
        <f>SUM(T24:T32)</f>
        <v>37170362.98</v>
      </c>
      <c r="U33" s="47">
        <f>SUM(U24:U32)</f>
        <v>10566585.870000003</v>
      </c>
      <c r="V33" s="43">
        <f>IF(T33=0,100%,U33/T33)</f>
        <v>0.2842744870607127</v>
      </c>
    </row>
    <row r="34" spans="1:22" ht="12" customHeight="1" outlineLevel="1">
      <c r="A34" s="49">
        <v>521212</v>
      </c>
      <c r="B34" s="21" t="s">
        <v>46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4">
        <v>0</v>
      </c>
      <c r="L34" s="4">
        <v>0</v>
      </c>
      <c r="M34" s="23">
        <v>0</v>
      </c>
      <c r="N34" s="23">
        <v>6791120.01</v>
      </c>
      <c r="O34" s="23">
        <v>27897674.81</v>
      </c>
      <c r="P34" s="23">
        <v>0</v>
      </c>
      <c r="Q34" s="23">
        <v>0</v>
      </c>
      <c r="R34" s="23">
        <v>51542</v>
      </c>
      <c r="S34" s="4">
        <f aca="true" t="shared" si="7" ref="S34:S45">SUM(C34:R34)</f>
        <v>34740336.82</v>
      </c>
      <c r="T34" s="4">
        <v>33382536.18</v>
      </c>
      <c r="U34" s="46">
        <f aca="true" t="shared" si="8" ref="U34:U45">S34-T34</f>
        <v>1357800.6400000006</v>
      </c>
      <c r="V34" s="35">
        <f>IF(T34=0,100%,U34/T34)</f>
        <v>0.0406739809305885</v>
      </c>
    </row>
    <row r="35" spans="1:22" ht="12" customHeight="1" outlineLevel="1">
      <c r="A35" s="49">
        <v>522202</v>
      </c>
      <c r="B35" s="33" t="s">
        <v>48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4">
        <v>0</v>
      </c>
      <c r="L35" s="4">
        <v>0</v>
      </c>
      <c r="M35" s="23">
        <v>0</v>
      </c>
      <c r="N35" s="23">
        <v>0</v>
      </c>
      <c r="O35" s="23">
        <v>61500</v>
      </c>
      <c r="P35" s="23">
        <v>0</v>
      </c>
      <c r="Q35" s="23">
        <v>0</v>
      </c>
      <c r="R35" s="23">
        <v>0</v>
      </c>
      <c r="S35" s="4">
        <f t="shared" si="7"/>
        <v>61500</v>
      </c>
      <c r="T35" s="4">
        <v>41500.26</v>
      </c>
      <c r="U35" s="46">
        <f t="shared" si="8"/>
        <v>19999.739999999998</v>
      </c>
      <c r="V35" s="35">
        <f aca="true" t="shared" si="9" ref="V35:V45">IF(T35=0,100%,U35/T35)</f>
        <v>0.481918426535159</v>
      </c>
    </row>
    <row r="36" spans="1:22" ht="12" customHeight="1" outlineLevel="1">
      <c r="A36" s="49">
        <v>522301</v>
      </c>
      <c r="B36" s="21" t="s">
        <v>49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4">
        <v>0</v>
      </c>
      <c r="L36" s="4">
        <v>0</v>
      </c>
      <c r="M36" s="23">
        <v>0</v>
      </c>
      <c r="N36" s="23">
        <v>0</v>
      </c>
      <c r="O36" s="23">
        <v>318752.14</v>
      </c>
      <c r="P36" s="23">
        <v>0</v>
      </c>
      <c r="Q36" s="23">
        <v>0</v>
      </c>
      <c r="R36" s="23">
        <v>0</v>
      </c>
      <c r="S36" s="4">
        <f t="shared" si="7"/>
        <v>318752.14</v>
      </c>
      <c r="T36" s="4">
        <v>423151</v>
      </c>
      <c r="U36" s="46">
        <f t="shared" si="8"/>
        <v>-104398.85999999999</v>
      </c>
      <c r="V36" s="35">
        <f t="shared" si="9"/>
        <v>-0.24671774378413378</v>
      </c>
    </row>
    <row r="37" spans="1:22" ht="12" customHeight="1" outlineLevel="1">
      <c r="A37" s="49">
        <v>522302</v>
      </c>
      <c r="B37" s="33" t="s">
        <v>50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4">
        <v>0</v>
      </c>
      <c r="L37" s="4">
        <v>0</v>
      </c>
      <c r="M37" s="23">
        <f>VLOOKUP(A37,'[1]Cust Svc Center '!$A$13:$D$32,4,0)</f>
        <v>33904.2</v>
      </c>
      <c r="N37" s="23">
        <v>0</v>
      </c>
      <c r="O37" s="23">
        <v>128850</v>
      </c>
      <c r="P37" s="23">
        <v>0</v>
      </c>
      <c r="Q37" s="23">
        <v>0</v>
      </c>
      <c r="R37" s="23">
        <v>0</v>
      </c>
      <c r="S37" s="4">
        <f t="shared" si="7"/>
        <v>162754.2</v>
      </c>
      <c r="T37" s="4">
        <v>81622.26000000001</v>
      </c>
      <c r="U37" s="46">
        <f t="shared" si="8"/>
        <v>81131.94</v>
      </c>
      <c r="V37" s="35">
        <f>IF(T37=0,100%,U37/T37)</f>
        <v>0.9939928151952665</v>
      </c>
    </row>
    <row r="38" spans="1:22" ht="12" customHeight="1" outlineLevel="1">
      <c r="A38" s="49">
        <v>523801</v>
      </c>
      <c r="B38" s="21" t="s">
        <v>51</v>
      </c>
      <c r="C38" s="23">
        <v>644</v>
      </c>
      <c r="D38" s="23">
        <v>0</v>
      </c>
      <c r="E38" s="23">
        <v>0</v>
      </c>
      <c r="F38" s="23">
        <v>0</v>
      </c>
      <c r="G38" s="23">
        <v>980</v>
      </c>
      <c r="H38" s="23">
        <v>0</v>
      </c>
      <c r="I38" s="23">
        <v>0</v>
      </c>
      <c r="J38" s="23">
        <v>0</v>
      </c>
      <c r="K38" s="4">
        <v>0</v>
      </c>
      <c r="L38" s="4">
        <v>0</v>
      </c>
      <c r="M38" s="23">
        <v>0</v>
      </c>
      <c r="N38" s="23">
        <v>0</v>
      </c>
      <c r="O38" s="23">
        <v>7373.333331</v>
      </c>
      <c r="P38" s="23">
        <v>0</v>
      </c>
      <c r="Q38" s="23">
        <v>667</v>
      </c>
      <c r="R38" s="23">
        <v>0</v>
      </c>
      <c r="S38" s="4">
        <f t="shared" si="7"/>
        <v>9664.333331</v>
      </c>
      <c r="T38" s="4">
        <v>8544.94</v>
      </c>
      <c r="U38" s="46">
        <f t="shared" si="8"/>
        <v>1119.3933309999993</v>
      </c>
      <c r="V38" s="35">
        <f t="shared" si="9"/>
        <v>0.13100072452234882</v>
      </c>
    </row>
    <row r="39" spans="1:22" ht="12" customHeight="1" outlineLevel="1">
      <c r="A39" s="49">
        <v>531102</v>
      </c>
      <c r="B39" s="21" t="s">
        <v>52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948</v>
      </c>
      <c r="K39" s="4">
        <v>0</v>
      </c>
      <c r="L39" s="4">
        <v>0</v>
      </c>
      <c r="M39" s="23">
        <v>0</v>
      </c>
      <c r="N39" s="23">
        <v>224000</v>
      </c>
      <c r="O39" s="23">
        <v>3415198</v>
      </c>
      <c r="P39" s="23">
        <v>0</v>
      </c>
      <c r="Q39" s="23">
        <v>0</v>
      </c>
      <c r="R39" s="23">
        <v>117808</v>
      </c>
      <c r="S39" s="4">
        <f t="shared" si="7"/>
        <v>3757954</v>
      </c>
      <c r="T39" s="4">
        <v>4678468.379999999</v>
      </c>
      <c r="U39" s="46">
        <f t="shared" si="8"/>
        <v>-920514.379999999</v>
      </c>
      <c r="V39" s="35">
        <f t="shared" si="9"/>
        <v>-0.19675549885836766</v>
      </c>
    </row>
    <row r="40" spans="1:22" ht="12" customHeight="1" outlineLevel="1">
      <c r="A40" s="49">
        <v>531107</v>
      </c>
      <c r="B40" s="21" t="s">
        <v>53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4">
        <v>0</v>
      </c>
      <c r="L40" s="4">
        <v>0</v>
      </c>
      <c r="M40" s="23">
        <v>0</v>
      </c>
      <c r="N40" s="23">
        <v>0</v>
      </c>
      <c r="O40" s="23">
        <v>1223000</v>
      </c>
      <c r="P40" s="23">
        <v>0</v>
      </c>
      <c r="Q40" s="23">
        <v>0</v>
      </c>
      <c r="R40" s="23">
        <v>0</v>
      </c>
      <c r="S40" s="4">
        <f t="shared" si="7"/>
        <v>1223000</v>
      </c>
      <c r="T40" s="4">
        <v>1811677.69</v>
      </c>
      <c r="U40" s="46">
        <f t="shared" si="8"/>
        <v>-588677.69</v>
      </c>
      <c r="V40" s="35">
        <f t="shared" si="9"/>
        <v>-0.3249351102844347</v>
      </c>
    </row>
    <row r="41" spans="1:22" ht="12" customHeight="1" outlineLevel="1">
      <c r="A41" s="49">
        <v>531211</v>
      </c>
      <c r="B41" s="21" t="s">
        <v>54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4">
        <v>0</v>
      </c>
      <c r="L41" s="4">
        <v>0</v>
      </c>
      <c r="M41" s="23">
        <v>0</v>
      </c>
      <c r="N41" s="23">
        <v>0</v>
      </c>
      <c r="O41" s="23">
        <v>883696</v>
      </c>
      <c r="P41" s="23">
        <v>0</v>
      </c>
      <c r="Q41" s="23">
        <v>0</v>
      </c>
      <c r="R41" s="23">
        <v>0</v>
      </c>
      <c r="S41" s="4">
        <f t="shared" si="7"/>
        <v>883696</v>
      </c>
      <c r="T41" s="4">
        <v>883696</v>
      </c>
      <c r="U41" s="46">
        <f t="shared" si="8"/>
        <v>0</v>
      </c>
      <c r="V41" s="35">
        <f>IF(T41=0,100%,U41/T41)</f>
        <v>0</v>
      </c>
    </row>
    <row r="42" spans="1:22" ht="12" customHeight="1" outlineLevel="1">
      <c r="A42" s="49">
        <v>531221</v>
      </c>
      <c r="B42" s="33" t="s">
        <v>55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4">
        <v>0</v>
      </c>
      <c r="L42" s="4">
        <v>0</v>
      </c>
      <c r="M42" s="23">
        <v>0</v>
      </c>
      <c r="N42" s="23">
        <v>0</v>
      </c>
      <c r="O42" s="23">
        <v>29108</v>
      </c>
      <c r="P42" s="23">
        <v>0</v>
      </c>
      <c r="Q42" s="23">
        <v>0</v>
      </c>
      <c r="R42" s="23">
        <v>0</v>
      </c>
      <c r="S42" s="4">
        <f t="shared" si="7"/>
        <v>29108</v>
      </c>
      <c r="T42" s="4">
        <v>29108</v>
      </c>
      <c r="U42" s="46">
        <f t="shared" si="8"/>
        <v>0</v>
      </c>
      <c r="V42" s="35">
        <f t="shared" si="9"/>
        <v>0</v>
      </c>
    </row>
    <row r="43" spans="1:22" ht="12" customHeight="1" outlineLevel="1">
      <c r="A43" s="49">
        <v>531231</v>
      </c>
      <c r="B43" s="33" t="s">
        <v>56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4">
        <v>0</v>
      </c>
      <c r="L43" s="4">
        <v>0</v>
      </c>
      <c r="M43" s="23">
        <v>0</v>
      </c>
      <c r="N43" s="23">
        <v>0</v>
      </c>
      <c r="O43" s="23">
        <f>1763029+525000</f>
        <v>2288029</v>
      </c>
      <c r="P43" s="23">
        <v>0</v>
      </c>
      <c r="Q43" s="23">
        <v>0</v>
      </c>
      <c r="R43" s="23">
        <v>0</v>
      </c>
      <c r="S43" s="4">
        <f t="shared" si="7"/>
        <v>2288029</v>
      </c>
      <c r="T43" s="4">
        <v>1763029</v>
      </c>
      <c r="U43" s="46">
        <f t="shared" si="8"/>
        <v>525000</v>
      </c>
      <c r="V43" s="35">
        <f t="shared" si="9"/>
        <v>0.2977829632978244</v>
      </c>
    </row>
    <row r="44" spans="1:22" ht="12" customHeight="1" outlineLevel="1">
      <c r="A44" s="49">
        <v>531601</v>
      </c>
      <c r="B44" s="33" t="s">
        <v>57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4">
        <v>0</v>
      </c>
      <c r="L44" s="4">
        <v>0</v>
      </c>
      <c r="M44" s="23">
        <v>0</v>
      </c>
      <c r="N44" s="23">
        <v>0</v>
      </c>
      <c r="O44" s="23">
        <v>181233.666666</v>
      </c>
      <c r="P44" s="23">
        <v>0</v>
      </c>
      <c r="Q44" s="23">
        <v>0</v>
      </c>
      <c r="R44" s="23">
        <v>0</v>
      </c>
      <c r="S44" s="4">
        <f t="shared" si="7"/>
        <v>181233.666666</v>
      </c>
      <c r="T44" s="4">
        <v>177968</v>
      </c>
      <c r="U44" s="46">
        <f t="shared" si="8"/>
        <v>3265.6666660000046</v>
      </c>
      <c r="V44" s="35">
        <f t="shared" si="9"/>
        <v>0.01834974077362225</v>
      </c>
    </row>
    <row r="45" spans="1:22" ht="12" customHeight="1">
      <c r="A45" s="49">
        <v>531701</v>
      </c>
      <c r="B45" s="21" t="s">
        <v>58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1685</v>
      </c>
      <c r="K45" s="4">
        <v>0</v>
      </c>
      <c r="L45" s="4">
        <v>0</v>
      </c>
      <c r="M45" s="23">
        <f>VLOOKUP(A45,'[1]Cust Svc Center '!$A$13:$D$32,4,0)</f>
        <v>17590</v>
      </c>
      <c r="N45" s="23">
        <v>0</v>
      </c>
      <c r="O45" s="23">
        <v>188002</v>
      </c>
      <c r="P45" s="23">
        <v>0</v>
      </c>
      <c r="Q45" s="23">
        <v>0</v>
      </c>
      <c r="R45" s="23">
        <v>92079</v>
      </c>
      <c r="S45" s="4">
        <f t="shared" si="7"/>
        <v>299356</v>
      </c>
      <c r="T45" s="4">
        <v>291060.78</v>
      </c>
      <c r="U45" s="46">
        <f t="shared" si="8"/>
        <v>8295.219999999972</v>
      </c>
      <c r="V45" s="35">
        <f t="shared" si="9"/>
        <v>0.02849995798128477</v>
      </c>
    </row>
    <row r="46" spans="1:22" s="13" customFormat="1" ht="12" customHeight="1">
      <c r="A46" s="51"/>
      <c r="B46" s="25" t="s">
        <v>9</v>
      </c>
      <c r="C46" s="26">
        <f>SUM(C34:C45)</f>
        <v>644</v>
      </c>
      <c r="D46" s="26">
        <f>SUM(D34:D45)</f>
        <v>0</v>
      </c>
      <c r="E46" s="26">
        <f>SUM(E34:E45)</f>
        <v>0</v>
      </c>
      <c r="F46" s="26">
        <f aca="true" t="shared" si="10" ref="F46:L46">SUM(F34:F45)</f>
        <v>0</v>
      </c>
      <c r="G46" s="26">
        <f t="shared" si="10"/>
        <v>980</v>
      </c>
      <c r="H46" s="26">
        <f t="shared" si="10"/>
        <v>0</v>
      </c>
      <c r="I46" s="26">
        <f t="shared" si="10"/>
        <v>0</v>
      </c>
      <c r="J46" s="26">
        <f t="shared" si="10"/>
        <v>2633</v>
      </c>
      <c r="K46" s="26">
        <f t="shared" si="10"/>
        <v>0</v>
      </c>
      <c r="L46" s="26">
        <f t="shared" si="10"/>
        <v>0</v>
      </c>
      <c r="M46" s="26">
        <f>SUM(M34:M45)</f>
        <v>51494.2</v>
      </c>
      <c r="N46" s="26">
        <f>SUM(N34:N45)</f>
        <v>7015120.01</v>
      </c>
      <c r="O46" s="26">
        <f>SUM(O34:O45)</f>
        <v>36622416.949997</v>
      </c>
      <c r="P46" s="26">
        <f>SUM(P34:P45)</f>
        <v>0</v>
      </c>
      <c r="Q46" s="26">
        <f>SUM(Q34:Q45)</f>
        <v>667</v>
      </c>
      <c r="R46" s="26">
        <f>SUM(R34:R45)</f>
        <v>261429</v>
      </c>
      <c r="S46" s="26">
        <f>SUM(S34:S45)</f>
        <v>43955384.159997</v>
      </c>
      <c r="T46" s="26">
        <f>SUM(T34:T45)</f>
        <v>43572362.489999995</v>
      </c>
      <c r="U46" s="47">
        <f>SUM(U34:U45)</f>
        <v>383021.66999700165</v>
      </c>
      <c r="V46" s="43">
        <f>IF(T46=0,100%,U46/T46)</f>
        <v>0.008790472861895117</v>
      </c>
    </row>
    <row r="47" spans="1:22" ht="12" customHeight="1">
      <c r="A47" s="49">
        <v>523201</v>
      </c>
      <c r="B47" s="21" t="s">
        <v>59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4">
        <v>0</v>
      </c>
      <c r="L47" s="4">
        <v>0</v>
      </c>
      <c r="M47" s="23">
        <f>VLOOKUP(A47,'[1]Cust Svc Center '!$A$13:$D$32,4,0)</f>
        <v>12900000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4">
        <f aca="true" t="shared" si="11" ref="S47:S53">SUM(C47:R47)</f>
        <v>12900000</v>
      </c>
      <c r="T47" s="4">
        <v>9843950.47</v>
      </c>
      <c r="U47" s="46">
        <f aca="true" t="shared" si="12" ref="U47:U53">S47-T47</f>
        <v>3056049.5299999993</v>
      </c>
      <c r="V47" s="35">
        <f aca="true" t="shared" si="13" ref="V47:V53">IF(T47=0,100%,U47/T47)</f>
        <v>0.3104495029016536</v>
      </c>
    </row>
    <row r="48" spans="1:22" ht="12" customHeight="1">
      <c r="A48" s="49">
        <v>523202</v>
      </c>
      <c r="B48" s="33" t="s">
        <v>60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4">
        <v>0</v>
      </c>
      <c r="L48" s="4">
        <v>0</v>
      </c>
      <c r="M48" s="23">
        <v>0</v>
      </c>
      <c r="N48" s="23">
        <v>1801100</v>
      </c>
      <c r="O48" s="23">
        <v>353812</v>
      </c>
      <c r="P48" s="23">
        <v>0</v>
      </c>
      <c r="Q48" s="23">
        <v>0</v>
      </c>
      <c r="R48" s="23">
        <v>0</v>
      </c>
      <c r="S48" s="4">
        <f t="shared" si="11"/>
        <v>2154912</v>
      </c>
      <c r="T48" s="4">
        <v>1468670.35</v>
      </c>
      <c r="U48" s="46">
        <f t="shared" si="12"/>
        <v>686241.6499999999</v>
      </c>
      <c r="V48" s="35">
        <f t="shared" si="13"/>
        <v>0.46725369651535476</v>
      </c>
    </row>
    <row r="49" spans="1:22" ht="12" customHeight="1">
      <c r="A49" s="49">
        <v>523701</v>
      </c>
      <c r="B49" s="21" t="s">
        <v>61</v>
      </c>
      <c r="C49" s="23">
        <v>3823</v>
      </c>
      <c r="D49" s="23">
        <v>2628</v>
      </c>
      <c r="E49" s="23">
        <v>0</v>
      </c>
      <c r="F49" s="23">
        <v>20159</v>
      </c>
      <c r="G49" s="23">
        <v>4565</v>
      </c>
      <c r="H49" s="23">
        <v>3423</v>
      </c>
      <c r="I49" s="23">
        <v>14844</v>
      </c>
      <c r="J49" s="23">
        <v>1454</v>
      </c>
      <c r="K49" s="4">
        <v>0</v>
      </c>
      <c r="L49" s="4">
        <v>1821</v>
      </c>
      <c r="M49" s="23">
        <f>VLOOKUP(A49,'[1]Cust Svc Center '!$A$13:$D$32,4,0)</f>
        <v>29393.190000000002</v>
      </c>
      <c r="N49" s="23">
        <v>38500</v>
      </c>
      <c r="O49" s="23">
        <v>21894</v>
      </c>
      <c r="P49" s="23">
        <v>709</v>
      </c>
      <c r="Q49" s="23">
        <v>5486</v>
      </c>
      <c r="R49" s="23">
        <f>27471.79-5000</f>
        <v>22471.79</v>
      </c>
      <c r="S49" s="4">
        <f t="shared" si="11"/>
        <v>171170.98</v>
      </c>
      <c r="T49" s="4">
        <v>161812.63</v>
      </c>
      <c r="U49" s="46">
        <f t="shared" si="12"/>
        <v>9358.350000000006</v>
      </c>
      <c r="V49" s="35">
        <f t="shared" si="13"/>
        <v>0.05783448424267009</v>
      </c>
    </row>
    <row r="50" spans="1:22" ht="12" customHeight="1">
      <c r="A50" s="49">
        <v>531103</v>
      </c>
      <c r="B50" s="21" t="s">
        <v>62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4">
        <v>0</v>
      </c>
      <c r="L50" s="4">
        <v>0</v>
      </c>
      <c r="M50" s="23">
        <v>0</v>
      </c>
      <c r="N50" s="23">
        <v>0</v>
      </c>
      <c r="O50" s="23">
        <v>1125022</v>
      </c>
      <c r="P50" s="23">
        <v>0</v>
      </c>
      <c r="Q50" s="23">
        <v>0</v>
      </c>
      <c r="R50" s="23">
        <v>0</v>
      </c>
      <c r="S50" s="4">
        <f t="shared" si="11"/>
        <v>1125022</v>
      </c>
      <c r="T50" s="4">
        <v>812200.34</v>
      </c>
      <c r="U50" s="46">
        <f t="shared" si="12"/>
        <v>312821.66000000003</v>
      </c>
      <c r="V50" s="35">
        <f t="shared" si="13"/>
        <v>0.3851533231320736</v>
      </c>
    </row>
    <row r="51" spans="1:22" ht="12" customHeight="1">
      <c r="A51" s="49">
        <v>531501</v>
      </c>
      <c r="B51" s="21" t="s">
        <v>63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4">
        <v>0</v>
      </c>
      <c r="L51" s="4">
        <v>0</v>
      </c>
      <c r="M51" s="23">
        <f>VLOOKUP(A51,'[1]Cust Svc Center '!$A$13:$D$32,4,0)</f>
        <v>6200000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4">
        <f t="shared" si="11"/>
        <v>6200000</v>
      </c>
      <c r="T51" s="4">
        <v>5711651.79</v>
      </c>
      <c r="U51" s="46">
        <f t="shared" si="12"/>
        <v>488348.20999999996</v>
      </c>
      <c r="V51" s="35">
        <f t="shared" si="13"/>
        <v>0.085500347002071</v>
      </c>
    </row>
    <row r="52" spans="1:22" ht="12" customHeight="1">
      <c r="A52" s="49">
        <v>531651</v>
      </c>
      <c r="B52" s="33" t="s">
        <v>64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4">
        <v>0</v>
      </c>
      <c r="L52" s="4">
        <v>0</v>
      </c>
      <c r="M52" s="23">
        <v>0</v>
      </c>
      <c r="N52" s="23">
        <v>11584902.989999998</v>
      </c>
      <c r="O52" s="23">
        <v>0</v>
      </c>
      <c r="P52" s="23">
        <v>0</v>
      </c>
      <c r="Q52" s="23">
        <v>0</v>
      </c>
      <c r="R52" s="23">
        <v>0</v>
      </c>
      <c r="S52" s="4">
        <f t="shared" si="11"/>
        <v>11584902.989999998</v>
      </c>
      <c r="T52" s="4">
        <v>11616557.429999998</v>
      </c>
      <c r="U52" s="46">
        <f t="shared" si="12"/>
        <v>-31654.43999999948</v>
      </c>
      <c r="V52" s="35">
        <f t="shared" si="13"/>
        <v>-0.0027249415492279355</v>
      </c>
    </row>
    <row r="53" spans="1:22" ht="12" customHeight="1">
      <c r="A53" s="49">
        <v>573002</v>
      </c>
      <c r="B53" s="33" t="s">
        <v>65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4">
        <v>0</v>
      </c>
      <c r="L53" s="4">
        <v>0</v>
      </c>
      <c r="M53" s="23">
        <f>VLOOKUP(A53,'[1]Cust Svc Center '!$A$13:$D$32,4,0)</f>
        <v>27441513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4">
        <f t="shared" si="11"/>
        <v>27441513</v>
      </c>
      <c r="T53" s="4">
        <v>23372922.02</v>
      </c>
      <c r="U53" s="46">
        <f t="shared" si="12"/>
        <v>4068590.9800000004</v>
      </c>
      <c r="V53" s="35">
        <f t="shared" si="13"/>
        <v>0.17407284277586446</v>
      </c>
    </row>
    <row r="54" spans="1:22" s="13" customFormat="1" ht="12" customHeight="1">
      <c r="A54" s="51"/>
      <c r="B54" s="25" t="s">
        <v>10</v>
      </c>
      <c r="C54" s="26">
        <f aca="true" t="shared" si="14" ref="C54:S54">SUM(C47:C53)</f>
        <v>3823</v>
      </c>
      <c r="D54" s="26">
        <f t="shared" si="14"/>
        <v>2628</v>
      </c>
      <c r="E54" s="26">
        <f t="shared" si="14"/>
        <v>0</v>
      </c>
      <c r="F54" s="26">
        <f t="shared" si="14"/>
        <v>20159</v>
      </c>
      <c r="G54" s="26">
        <f t="shared" si="14"/>
        <v>4565</v>
      </c>
      <c r="H54" s="26">
        <f t="shared" si="14"/>
        <v>3423</v>
      </c>
      <c r="I54" s="26">
        <f t="shared" si="14"/>
        <v>14844</v>
      </c>
      <c r="J54" s="26">
        <f t="shared" si="14"/>
        <v>1454</v>
      </c>
      <c r="K54" s="26">
        <f t="shared" si="14"/>
        <v>0</v>
      </c>
      <c r="L54" s="26">
        <f t="shared" si="14"/>
        <v>1821</v>
      </c>
      <c r="M54" s="26">
        <f t="shared" si="14"/>
        <v>46570906.19</v>
      </c>
      <c r="N54" s="26">
        <f t="shared" si="14"/>
        <v>13424502.989999998</v>
      </c>
      <c r="O54" s="26">
        <f t="shared" si="14"/>
        <v>1500728</v>
      </c>
      <c r="P54" s="26">
        <f t="shared" si="14"/>
        <v>709</v>
      </c>
      <c r="Q54" s="26">
        <f t="shared" si="14"/>
        <v>5486</v>
      </c>
      <c r="R54" s="26">
        <f t="shared" si="14"/>
        <v>22471.79</v>
      </c>
      <c r="S54" s="26">
        <f t="shared" si="14"/>
        <v>61577520.97</v>
      </c>
      <c r="T54" s="26">
        <f>SUM(T47:T53)</f>
        <v>52987765.03</v>
      </c>
      <c r="U54" s="47">
        <f>SUM(U47:U53)</f>
        <v>8589755.940000001</v>
      </c>
      <c r="V54" s="43">
        <f>IF(T54=0,100%,U54/T54)</f>
        <v>0.1621082892463336</v>
      </c>
    </row>
    <row r="55" spans="1:22" ht="12" customHeight="1">
      <c r="A55" s="49">
        <v>523203</v>
      </c>
      <c r="B55" s="33" t="s">
        <v>34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f>33369-20000</f>
        <v>13369</v>
      </c>
      <c r="J55" s="23">
        <v>0</v>
      </c>
      <c r="K55" s="4">
        <v>0</v>
      </c>
      <c r="L55" s="4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4">
        <f aca="true" t="shared" si="15" ref="S55:S60">SUM(C55:R55)</f>
        <v>13369</v>
      </c>
      <c r="T55" s="4">
        <v>13369</v>
      </c>
      <c r="U55" s="46">
        <f aca="true" t="shared" si="16" ref="U55:U60">S55-T55</f>
        <v>0</v>
      </c>
      <c r="V55" s="35">
        <f aca="true" t="shared" si="17" ref="V55:V60">IF(T55=0,100%,U55/T55)</f>
        <v>0</v>
      </c>
    </row>
    <row r="56" spans="1:22" ht="12" customHeight="1">
      <c r="A56" s="49">
        <v>523302</v>
      </c>
      <c r="B56" s="33" t="s">
        <v>82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1618782</v>
      </c>
      <c r="K56" s="4">
        <v>0</v>
      </c>
      <c r="L56" s="4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4">
        <f t="shared" si="15"/>
        <v>1618782</v>
      </c>
      <c r="T56" s="4">
        <v>1368782</v>
      </c>
      <c r="U56" s="46">
        <f t="shared" si="16"/>
        <v>250000</v>
      </c>
      <c r="V56" s="35">
        <f t="shared" si="17"/>
        <v>0.1826441317901609</v>
      </c>
    </row>
    <row r="57" spans="1:22" ht="12" customHeight="1">
      <c r="A57" s="49">
        <v>523303</v>
      </c>
      <c r="B57" s="33" t="s">
        <v>35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1250499</v>
      </c>
      <c r="K57" s="4">
        <v>0</v>
      </c>
      <c r="L57" s="4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4">
        <f t="shared" si="15"/>
        <v>1250499</v>
      </c>
      <c r="T57" s="4">
        <v>950499</v>
      </c>
      <c r="U57" s="46">
        <f t="shared" si="16"/>
        <v>300000</v>
      </c>
      <c r="V57" s="35">
        <f t="shared" si="17"/>
        <v>0.31562368818904596</v>
      </c>
    </row>
    <row r="58" spans="1:22" ht="12" customHeight="1">
      <c r="A58" s="49">
        <v>523304</v>
      </c>
      <c r="B58" s="33" t="s">
        <v>36</v>
      </c>
      <c r="C58" s="23">
        <v>164</v>
      </c>
      <c r="D58" s="23">
        <v>107675</v>
      </c>
      <c r="E58" s="23">
        <v>0</v>
      </c>
      <c r="F58" s="23">
        <v>34847</v>
      </c>
      <c r="G58" s="23">
        <v>0</v>
      </c>
      <c r="H58" s="23">
        <v>0</v>
      </c>
      <c r="I58" s="23">
        <v>100800</v>
      </c>
      <c r="J58" s="23">
        <v>1189711</v>
      </c>
      <c r="K58" s="4">
        <v>0</v>
      </c>
      <c r="L58" s="4">
        <v>0</v>
      </c>
      <c r="M58" s="23">
        <f>VLOOKUP(A58,'[1]Cust Svc Center '!$A$13:$D$32,4,0)</f>
        <v>234212.84</v>
      </c>
      <c r="N58" s="23">
        <v>0</v>
      </c>
      <c r="O58" s="23">
        <v>0</v>
      </c>
      <c r="P58" s="23">
        <v>0</v>
      </c>
      <c r="Q58" s="23">
        <v>0</v>
      </c>
      <c r="R58" s="23">
        <v>5080</v>
      </c>
      <c r="S58" s="4">
        <f t="shared" si="15"/>
        <v>1672489.84</v>
      </c>
      <c r="T58" s="4">
        <v>1384928</v>
      </c>
      <c r="U58" s="46">
        <f t="shared" si="16"/>
        <v>287561.8400000001</v>
      </c>
      <c r="V58" s="35">
        <f t="shared" si="17"/>
        <v>0.20763667136486524</v>
      </c>
    </row>
    <row r="59" spans="1:22" ht="12" customHeight="1">
      <c r="A59" s="49">
        <v>523401</v>
      </c>
      <c r="B59" s="21" t="s">
        <v>37</v>
      </c>
      <c r="C59" s="23">
        <v>2900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5931</v>
      </c>
      <c r="K59" s="4">
        <v>0</v>
      </c>
      <c r="L59" s="4">
        <v>0</v>
      </c>
      <c r="M59" s="23">
        <f>VLOOKUP(A59,'[1]Cust Svc Center '!$A$13:$D$32,4,0)</f>
        <v>152435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4">
        <f t="shared" si="15"/>
        <v>161266</v>
      </c>
      <c r="T59" s="4">
        <v>93480</v>
      </c>
      <c r="U59" s="46">
        <f t="shared" si="16"/>
        <v>67786</v>
      </c>
      <c r="V59" s="35">
        <f t="shared" si="17"/>
        <v>0.7251390671801455</v>
      </c>
    </row>
    <row r="60" spans="1:22" ht="12" customHeight="1">
      <c r="A60" s="49">
        <v>523402</v>
      </c>
      <c r="B60" s="21" t="s">
        <v>38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16155</v>
      </c>
      <c r="K60" s="4">
        <v>0</v>
      </c>
      <c r="L60" s="4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4">
        <f t="shared" si="15"/>
        <v>16155</v>
      </c>
      <c r="T60" s="4">
        <v>16155</v>
      </c>
      <c r="U60" s="46">
        <f t="shared" si="16"/>
        <v>0</v>
      </c>
      <c r="V60" s="35">
        <f t="shared" si="17"/>
        <v>0</v>
      </c>
    </row>
    <row r="61" spans="1:22" s="13" customFormat="1" ht="12" customHeight="1">
      <c r="A61" s="51"/>
      <c r="B61" s="25" t="s">
        <v>18</v>
      </c>
      <c r="C61" s="26">
        <f>SUM(C55:C60)</f>
        <v>3064</v>
      </c>
      <c r="D61" s="26">
        <f aca="true" t="shared" si="18" ref="D61:R61">SUM(D55:D60)</f>
        <v>107675</v>
      </c>
      <c r="E61" s="26">
        <f t="shared" si="18"/>
        <v>0</v>
      </c>
      <c r="F61" s="26">
        <f aca="true" t="shared" si="19" ref="F61:L61">SUM(F55:F60)</f>
        <v>34847</v>
      </c>
      <c r="G61" s="26">
        <f t="shared" si="19"/>
        <v>0</v>
      </c>
      <c r="H61" s="26">
        <f t="shared" si="19"/>
        <v>0</v>
      </c>
      <c r="I61" s="26">
        <f t="shared" si="19"/>
        <v>114169</v>
      </c>
      <c r="J61" s="26">
        <f t="shared" si="19"/>
        <v>4081078</v>
      </c>
      <c r="K61" s="26">
        <f t="shared" si="19"/>
        <v>0</v>
      </c>
      <c r="L61" s="26">
        <f t="shared" si="19"/>
        <v>0</v>
      </c>
      <c r="M61" s="26">
        <f t="shared" si="18"/>
        <v>386647.83999999997</v>
      </c>
      <c r="N61" s="26">
        <f>SUM(N55:N60)</f>
        <v>0</v>
      </c>
      <c r="O61" s="26">
        <f t="shared" si="18"/>
        <v>0</v>
      </c>
      <c r="P61" s="26">
        <f t="shared" si="18"/>
        <v>0</v>
      </c>
      <c r="Q61" s="26">
        <f t="shared" si="18"/>
        <v>0</v>
      </c>
      <c r="R61" s="26">
        <f t="shared" si="18"/>
        <v>5080</v>
      </c>
      <c r="S61" s="26">
        <f>SUM(S55:S60)</f>
        <v>4732560.84</v>
      </c>
      <c r="T61" s="26">
        <f>SUM(T55:T60)</f>
        <v>3827213</v>
      </c>
      <c r="U61" s="47">
        <f>SUM(U55:U60)</f>
        <v>905347.8400000001</v>
      </c>
      <c r="V61" s="43">
        <f>IF(T61=0,100%,U61/T61)</f>
        <v>0.23655538377404134</v>
      </c>
    </row>
    <row r="62" spans="1:22" ht="12" customHeight="1">
      <c r="A62" s="49">
        <v>521101</v>
      </c>
      <c r="B62" s="21" t="s">
        <v>23</v>
      </c>
      <c r="C62" s="23">
        <v>2308</v>
      </c>
      <c r="D62" s="23">
        <v>2801</v>
      </c>
      <c r="E62" s="23">
        <v>51918</v>
      </c>
      <c r="F62" s="23">
        <v>3366</v>
      </c>
      <c r="G62" s="23">
        <v>330</v>
      </c>
      <c r="H62" s="23">
        <v>2300</v>
      </c>
      <c r="I62" s="23">
        <v>1581</v>
      </c>
      <c r="J62" s="23">
        <v>8902</v>
      </c>
      <c r="K62" s="4">
        <v>0</v>
      </c>
      <c r="L62" s="4">
        <v>0</v>
      </c>
      <c r="M62" s="23">
        <f>VLOOKUP(A62,'[1]Cust Svc Center '!$A$13:$D$32,4,0)</f>
        <v>13516.13</v>
      </c>
      <c r="N62" s="23">
        <v>0</v>
      </c>
      <c r="O62" s="23">
        <v>6100</v>
      </c>
      <c r="P62" s="23">
        <v>780</v>
      </c>
      <c r="Q62" s="23">
        <v>500</v>
      </c>
      <c r="R62" s="23">
        <v>1000</v>
      </c>
      <c r="S62" s="4">
        <f aca="true" t="shared" si="20" ref="S62:S70">SUM(C62:R62)</f>
        <v>95402.13</v>
      </c>
      <c r="T62" s="4">
        <v>91271.85</v>
      </c>
      <c r="U62" s="46">
        <f aca="true" t="shared" si="21" ref="U62:U71">S62-T62</f>
        <v>4130.279999999999</v>
      </c>
      <c r="V62" s="35">
        <f aca="true" t="shared" si="22" ref="V62:V71">IF(T62=0,100%,U62/T62)</f>
        <v>0.045252506660049055</v>
      </c>
    </row>
    <row r="63" spans="1:22" ht="12" customHeight="1">
      <c r="A63" s="49">
        <v>523101</v>
      </c>
      <c r="B63" s="33" t="s">
        <v>24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4">
        <v>0</v>
      </c>
      <c r="L63" s="4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4942911</v>
      </c>
      <c r="S63" s="4">
        <f t="shared" si="20"/>
        <v>4942911</v>
      </c>
      <c r="T63" s="4">
        <v>2896956.67</v>
      </c>
      <c r="U63" s="46">
        <f t="shared" si="21"/>
        <v>2045954.33</v>
      </c>
      <c r="V63" s="35">
        <f t="shared" si="22"/>
        <v>0.706242641178337</v>
      </c>
    </row>
    <row r="64" spans="1:22" ht="12" customHeight="1">
      <c r="A64" s="49">
        <v>523305</v>
      </c>
      <c r="B64" s="21" t="s">
        <v>26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331</v>
      </c>
      <c r="K64" s="4">
        <v>0</v>
      </c>
      <c r="L64" s="4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4">
        <f t="shared" si="20"/>
        <v>331</v>
      </c>
      <c r="T64" s="4">
        <v>331</v>
      </c>
      <c r="U64" s="46">
        <f t="shared" si="21"/>
        <v>0</v>
      </c>
      <c r="V64" s="35">
        <f t="shared" si="22"/>
        <v>0</v>
      </c>
    </row>
    <row r="65" spans="1:22" ht="12" customHeight="1">
      <c r="A65" s="49">
        <v>523501</v>
      </c>
      <c r="B65" s="21" t="s">
        <v>27</v>
      </c>
      <c r="C65" s="23">
        <f>10826-5000</f>
        <v>5826</v>
      </c>
      <c r="D65" s="23">
        <f>12902-8000</f>
        <v>4902</v>
      </c>
      <c r="E65" s="23">
        <f>12926-8000</f>
        <v>4926</v>
      </c>
      <c r="F65" s="23">
        <v>0</v>
      </c>
      <c r="G65" s="23">
        <v>170</v>
      </c>
      <c r="H65" s="23">
        <f>5804-3000</f>
        <v>2804</v>
      </c>
      <c r="I65" s="23">
        <v>16720</v>
      </c>
      <c r="J65" s="23">
        <f>31822-6000</f>
        <v>25822</v>
      </c>
      <c r="K65" s="4">
        <v>0</v>
      </c>
      <c r="L65" s="4">
        <f>6633-5000</f>
        <v>1633</v>
      </c>
      <c r="M65" s="23">
        <f>VLOOKUP(A65,'[1]Cust Svc Center '!$A$13:$D$32,4,0)</f>
        <v>19364.289999999997</v>
      </c>
      <c r="N65" s="23">
        <v>5900</v>
      </c>
      <c r="O65" s="23">
        <v>15350</v>
      </c>
      <c r="P65" s="23">
        <f>6984-5000</f>
        <v>1984</v>
      </c>
      <c r="Q65" s="23">
        <f>4285-2000</f>
        <v>2285</v>
      </c>
      <c r="R65" s="23">
        <v>3182</v>
      </c>
      <c r="S65" s="4">
        <f t="shared" si="20"/>
        <v>110868.29</v>
      </c>
      <c r="T65" s="4">
        <v>68554.25</v>
      </c>
      <c r="U65" s="46">
        <f t="shared" si="21"/>
        <v>42314.03999999999</v>
      </c>
      <c r="V65" s="35">
        <f t="shared" si="22"/>
        <v>0.6172343800712573</v>
      </c>
    </row>
    <row r="66" spans="1:22" ht="12" customHeight="1">
      <c r="A66" s="49">
        <v>523601</v>
      </c>
      <c r="B66" s="21" t="s">
        <v>28</v>
      </c>
      <c r="C66" s="23">
        <v>4562</v>
      </c>
      <c r="D66" s="23">
        <v>60000</v>
      </c>
      <c r="E66" s="23">
        <v>9500</v>
      </c>
      <c r="F66" s="23">
        <v>2366</v>
      </c>
      <c r="G66" s="23">
        <v>3930</v>
      </c>
      <c r="H66" s="23">
        <v>77111</v>
      </c>
      <c r="I66" s="23">
        <v>66497.25</v>
      </c>
      <c r="J66" s="23">
        <v>16839</v>
      </c>
      <c r="K66" s="4">
        <v>1562</v>
      </c>
      <c r="L66" s="4">
        <v>475</v>
      </c>
      <c r="M66" s="23">
        <f>VLOOKUP(A66,'[1]Cust Svc Center '!$A$13:$D$32,4,0)</f>
        <v>2512.8</v>
      </c>
      <c r="N66" s="23">
        <v>6565</v>
      </c>
      <c r="O66" s="23">
        <v>37235</v>
      </c>
      <c r="P66" s="23">
        <v>9000</v>
      </c>
      <c r="Q66" s="23">
        <v>1157</v>
      </c>
      <c r="R66" s="23">
        <v>3691</v>
      </c>
      <c r="S66" s="4">
        <f t="shared" si="20"/>
        <v>303003.05</v>
      </c>
      <c r="T66" s="4">
        <v>282134.11</v>
      </c>
      <c r="U66" s="46">
        <f t="shared" si="21"/>
        <v>20868.940000000002</v>
      </c>
      <c r="V66" s="35">
        <f>IF(T66=0,100%,U66/T66)</f>
        <v>0.07396815649125164</v>
      </c>
    </row>
    <row r="67" spans="1:22" ht="12" customHeight="1">
      <c r="A67" s="49">
        <v>523902</v>
      </c>
      <c r="B67" s="21" t="s">
        <v>29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4">
        <v>0</v>
      </c>
      <c r="L67" s="4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6182</v>
      </c>
      <c r="S67" s="4">
        <f t="shared" si="20"/>
        <v>6182</v>
      </c>
      <c r="T67" s="4">
        <v>6182</v>
      </c>
      <c r="U67" s="46">
        <f t="shared" si="21"/>
        <v>0</v>
      </c>
      <c r="V67" s="35">
        <f t="shared" si="22"/>
        <v>0</v>
      </c>
    </row>
    <row r="68" spans="1:22" ht="12" customHeight="1">
      <c r="A68" s="49">
        <v>531101</v>
      </c>
      <c r="B68" s="33" t="s">
        <v>30</v>
      </c>
      <c r="C68" s="23">
        <v>5442</v>
      </c>
      <c r="D68" s="23">
        <v>400</v>
      </c>
      <c r="E68" s="23">
        <v>2020</v>
      </c>
      <c r="F68" s="23">
        <v>4963</v>
      </c>
      <c r="G68" s="23">
        <v>850</v>
      </c>
      <c r="H68" s="23">
        <v>27256</v>
      </c>
      <c r="I68" s="23">
        <v>5527</v>
      </c>
      <c r="J68" s="23">
        <v>5583</v>
      </c>
      <c r="K68" s="4">
        <v>244165</v>
      </c>
      <c r="L68" s="4">
        <v>883</v>
      </c>
      <c r="M68" s="23">
        <f>VLOOKUP(A68,'[1]Cust Svc Center '!$A$13:$D$32,4,0)</f>
        <v>50000</v>
      </c>
      <c r="N68" s="23">
        <v>37200</v>
      </c>
      <c r="O68" s="23">
        <v>19600</v>
      </c>
      <c r="P68" s="23">
        <v>47126</v>
      </c>
      <c r="Q68" s="23">
        <v>2041</v>
      </c>
      <c r="R68" s="23">
        <v>9854</v>
      </c>
      <c r="S68" s="4">
        <f t="shared" si="20"/>
        <v>462910</v>
      </c>
      <c r="T68" s="4">
        <v>525001.1900000001</v>
      </c>
      <c r="U68" s="46">
        <f t="shared" si="21"/>
        <v>-62091.19000000006</v>
      </c>
      <c r="V68" s="35">
        <f t="shared" si="22"/>
        <v>-0.11826866525769218</v>
      </c>
    </row>
    <row r="69" spans="1:22" ht="12" customHeight="1">
      <c r="A69" s="49">
        <v>531105</v>
      </c>
      <c r="B69" s="21" t="s">
        <v>31</v>
      </c>
      <c r="C69" s="23">
        <v>420</v>
      </c>
      <c r="D69" s="23">
        <v>58</v>
      </c>
      <c r="E69" s="23">
        <v>1257</v>
      </c>
      <c r="F69" s="23">
        <v>483</v>
      </c>
      <c r="G69" s="23">
        <v>0</v>
      </c>
      <c r="H69" s="23">
        <v>472</v>
      </c>
      <c r="I69" s="23">
        <v>90</v>
      </c>
      <c r="J69" s="23">
        <v>332</v>
      </c>
      <c r="K69" s="4">
        <v>0</v>
      </c>
      <c r="L69" s="4">
        <v>233</v>
      </c>
      <c r="M69" s="23">
        <f>VLOOKUP(A69,'[1]Cust Svc Center '!$A$13:$D$32,4,0)</f>
        <v>7696.3</v>
      </c>
      <c r="N69" s="23">
        <v>0</v>
      </c>
      <c r="O69" s="23">
        <v>400</v>
      </c>
      <c r="P69" s="23">
        <v>215</v>
      </c>
      <c r="Q69" s="23">
        <v>407</v>
      </c>
      <c r="R69" s="23">
        <v>106</v>
      </c>
      <c r="S69" s="4">
        <f t="shared" si="20"/>
        <v>12169.3</v>
      </c>
      <c r="T69" s="4">
        <v>5453.51</v>
      </c>
      <c r="U69" s="46">
        <f t="shared" si="21"/>
        <v>6715.789999999999</v>
      </c>
      <c r="V69" s="35">
        <f t="shared" si="22"/>
        <v>1.2314619391914563</v>
      </c>
    </row>
    <row r="70" spans="1:22" ht="12" customHeight="1">
      <c r="A70" s="49">
        <v>531401</v>
      </c>
      <c r="B70" s="33" t="s">
        <v>32</v>
      </c>
      <c r="C70" s="23">
        <v>0</v>
      </c>
      <c r="D70" s="23">
        <v>0</v>
      </c>
      <c r="E70" s="23">
        <v>0</v>
      </c>
      <c r="F70" s="23">
        <v>0</v>
      </c>
      <c r="G70" s="23">
        <v>250</v>
      </c>
      <c r="H70" s="23">
        <v>0</v>
      </c>
      <c r="I70" s="23">
        <v>0</v>
      </c>
      <c r="J70" s="23">
        <v>0</v>
      </c>
      <c r="K70" s="4">
        <v>0</v>
      </c>
      <c r="L70" s="4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4">
        <f t="shared" si="20"/>
        <v>250</v>
      </c>
      <c r="T70" s="4">
        <v>0</v>
      </c>
      <c r="U70" s="46">
        <f t="shared" si="21"/>
        <v>250</v>
      </c>
      <c r="V70" s="35">
        <f t="shared" si="22"/>
        <v>1</v>
      </c>
    </row>
    <row r="71" spans="1:22" ht="12" customHeight="1">
      <c r="A71" s="49">
        <v>573001</v>
      </c>
      <c r="B71" s="33" t="s">
        <v>33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4">
        <v>0</v>
      </c>
      <c r="L71" s="4">
        <v>100000</v>
      </c>
      <c r="M71" s="23">
        <f>VLOOKUP(A71,'[1]Cust Svc Center '!$A$13:$D$32,4,0)</f>
        <v>455225.69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4">
        <f>SUM(C71:R71)</f>
        <v>555225.69</v>
      </c>
      <c r="T71" s="4">
        <v>513269.23</v>
      </c>
      <c r="U71" s="46">
        <f t="shared" si="21"/>
        <v>41956.45999999996</v>
      </c>
      <c r="V71" s="35">
        <f t="shared" si="22"/>
        <v>0.08174357149755493</v>
      </c>
    </row>
    <row r="72" spans="2:22" s="13" customFormat="1" ht="12" customHeight="1">
      <c r="B72" s="25" t="s">
        <v>19</v>
      </c>
      <c r="C72" s="26">
        <f>SUM(C62:C71)</f>
        <v>18558</v>
      </c>
      <c r="D72" s="26">
        <f aca="true" t="shared" si="23" ref="D72:R72">SUM(D62:D71)</f>
        <v>68161</v>
      </c>
      <c r="E72" s="26">
        <f t="shared" si="23"/>
        <v>69621</v>
      </c>
      <c r="F72" s="26">
        <f aca="true" t="shared" si="24" ref="F72:L72">SUM(F62:F71)</f>
        <v>11178</v>
      </c>
      <c r="G72" s="26">
        <f t="shared" si="24"/>
        <v>5530</v>
      </c>
      <c r="H72" s="26">
        <f t="shared" si="24"/>
        <v>109943</v>
      </c>
      <c r="I72" s="26">
        <f t="shared" si="24"/>
        <v>90415.25</v>
      </c>
      <c r="J72" s="26">
        <f t="shared" si="24"/>
        <v>57809</v>
      </c>
      <c r="K72" s="26">
        <f>SUM(K62:K71)</f>
        <v>245727</v>
      </c>
      <c r="L72" s="26">
        <f t="shared" si="24"/>
        <v>103224</v>
      </c>
      <c r="M72" s="26">
        <f t="shared" si="23"/>
        <v>548315.21</v>
      </c>
      <c r="N72" s="26">
        <f>SUM(N62:N71)</f>
        <v>49665</v>
      </c>
      <c r="O72" s="26">
        <f t="shared" si="23"/>
        <v>78685</v>
      </c>
      <c r="P72" s="26">
        <f t="shared" si="23"/>
        <v>59105</v>
      </c>
      <c r="Q72" s="26">
        <f t="shared" si="23"/>
        <v>6390</v>
      </c>
      <c r="R72" s="26">
        <f t="shared" si="23"/>
        <v>4966926</v>
      </c>
      <c r="S72" s="26">
        <f>SUM(S62:S71)</f>
        <v>6489252.459999999</v>
      </c>
      <c r="T72" s="26">
        <f>SUM(T62:T71)</f>
        <v>4389153.81</v>
      </c>
      <c r="U72" s="47">
        <f>SUM(U62:U71)</f>
        <v>2100098.6500000004</v>
      </c>
      <c r="V72" s="43">
        <f>IF(T72=0,100%,U72/T72)</f>
        <v>0.47847460829813127</v>
      </c>
    </row>
    <row r="73" spans="2:22" ht="3.75" customHeight="1">
      <c r="B73" s="27"/>
      <c r="C73" s="28"/>
      <c r="D73" s="28"/>
      <c r="E73" s="28"/>
      <c r="F73" s="28"/>
      <c r="G73" s="28"/>
      <c r="H73" s="28"/>
      <c r="I73" s="28"/>
      <c r="J73" s="28"/>
      <c r="K73" s="3"/>
      <c r="L73" s="3"/>
      <c r="M73" s="28"/>
      <c r="N73" s="28"/>
      <c r="O73" s="28"/>
      <c r="P73" s="28"/>
      <c r="Q73" s="28"/>
      <c r="R73" s="3"/>
      <c r="S73" s="3"/>
      <c r="T73" s="3"/>
      <c r="U73" s="3"/>
      <c r="V73" s="36"/>
    </row>
    <row r="74" spans="1:22" s="13" customFormat="1" ht="12" customHeight="1" thickBot="1">
      <c r="A74" s="13" t="s">
        <v>80</v>
      </c>
      <c r="B74" s="25" t="s">
        <v>83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44">
        <v>-26268995.8842984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44">
        <f>SUM(C74:R74)</f>
        <v>-26268995.8842984</v>
      </c>
      <c r="T74" s="44">
        <v>-21608319</v>
      </c>
      <c r="U74" s="47">
        <f>S74-T74</f>
        <v>-4660676.884298399</v>
      </c>
      <c r="V74" s="43">
        <f>IF(T74=0,100%,U74/T74)</f>
        <v>0.2156890077519866</v>
      </c>
    </row>
    <row r="75" spans="2:22" ht="15" customHeight="1" thickBot="1">
      <c r="B75" s="29" t="s">
        <v>13</v>
      </c>
      <c r="C75" s="42">
        <f aca="true" t="shared" si="25" ref="C75:J75">C23+C33+C46+C54+C61+C72+C74</f>
        <v>1782637.266994</v>
      </c>
      <c r="D75" s="42">
        <f t="shared" si="25"/>
        <v>712166.588081</v>
      </c>
      <c r="E75" s="42">
        <f t="shared" si="25"/>
        <v>173703.455245</v>
      </c>
      <c r="F75" s="42">
        <f t="shared" si="25"/>
        <v>1758194.843643</v>
      </c>
      <c r="G75" s="42">
        <f t="shared" si="25"/>
        <v>1153139.520426</v>
      </c>
      <c r="H75" s="42">
        <f t="shared" si="25"/>
        <v>2823597.0349810002</v>
      </c>
      <c r="I75" s="42">
        <f t="shared" si="25"/>
        <v>1734054.780638</v>
      </c>
      <c r="J75" s="42">
        <f t="shared" si="25"/>
        <v>7622370.550659</v>
      </c>
      <c r="K75" s="45">
        <f>K23+K33+K46+K54+K61+K72+K74</f>
        <v>-21964025.8842984</v>
      </c>
      <c r="L75" s="42">
        <f>L23+L33+L46+L54+L61+L72+L74</f>
        <v>2408028.842185</v>
      </c>
      <c r="M75" s="42">
        <f aca="true" t="shared" si="26" ref="M75:T75">M23+M33+M46+M54+M61+M72+M74</f>
        <v>93444059.86999999</v>
      </c>
      <c r="N75" s="42">
        <f t="shared" si="26"/>
        <v>30672011.237278</v>
      </c>
      <c r="O75" s="42">
        <f t="shared" si="26"/>
        <v>49649765.737596005</v>
      </c>
      <c r="P75" s="42">
        <f t="shared" si="26"/>
        <v>1400114.238335</v>
      </c>
      <c r="Q75" s="42">
        <f t="shared" si="26"/>
        <v>2626506.382416</v>
      </c>
      <c r="R75" s="42">
        <f t="shared" si="26"/>
        <v>23866138.091144998</v>
      </c>
      <c r="S75" s="42">
        <f>S23+S33+S46+S54+S61+S72+S74</f>
        <v>199862462.5553236</v>
      </c>
      <c r="T75" s="42">
        <f t="shared" si="26"/>
        <v>183656659.433179</v>
      </c>
      <c r="U75" s="30">
        <f>U23+U33+U46+U54+U61+U72+U74+1</f>
        <v>16205804.12214461</v>
      </c>
      <c r="V75" s="37">
        <f>IF(T75=0,100%,U75/T75)</f>
        <v>0.0882396759919336</v>
      </c>
    </row>
    <row r="76" spans="2:17" s="15" customFormat="1" ht="3" customHeight="1" thickTop="1">
      <c r="B76" s="31"/>
      <c r="C76" s="32"/>
      <c r="D76" s="32"/>
      <c r="E76" s="32"/>
      <c r="F76" s="32"/>
      <c r="G76" s="32"/>
      <c r="H76" s="32"/>
      <c r="I76" s="32"/>
      <c r="J76" s="32"/>
      <c r="M76" s="32"/>
      <c r="N76" s="32"/>
      <c r="O76" s="32"/>
      <c r="P76" s="32"/>
      <c r="Q76" s="32"/>
    </row>
    <row r="77" spans="2:19" s="15" customFormat="1" ht="1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38"/>
    </row>
    <row r="78" spans="2:21" ht="1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40"/>
      <c r="U78" s="15"/>
    </row>
    <row r="79" ht="15">
      <c r="B79" s="6"/>
    </row>
    <row r="81" ht="15">
      <c r="U81" s="34"/>
    </row>
  </sheetData>
  <sheetProtection/>
  <printOptions/>
  <pageMargins left="0.7" right="0.7" top="0.75" bottom="0.75" header="0.3" footer="0.3"/>
  <pageSetup orientation="portrait" r:id="rId2"/>
  <ignoredErrors>
    <ignoredError sqref="T77:U77 C76:E77 C73:E73 R76:V76 R77 M76:M77 M73 O76:Q77 O73:S73 U73:V73 U12 U47:U53 S22:S23 U22:U27 U29:U32 U41:U45 U14:U15 S13:S15 U16:U20 S18:S20 S24:S61 U55:U60 U34:U3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95"/>
  <sheetViews>
    <sheetView showGridLines="0" zoomScalePageLayoutView="0" workbookViewId="0" topLeftCell="A1">
      <pane xSplit="3" ySplit="10" topLeftCell="H56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O10" sqref="O10"/>
    </sheetView>
  </sheetViews>
  <sheetFormatPr defaultColWidth="9.140625" defaultRowHeight="15" outlineLevelRow="1" outlineLevelCol="1"/>
  <cols>
    <col min="1" max="1" width="9.140625" style="53" hidden="1" customWidth="1"/>
    <col min="2" max="2" width="9.140625" style="53" customWidth="1"/>
    <col min="3" max="3" width="37.140625" style="53" customWidth="1"/>
    <col min="4" max="5" width="14.421875" style="53" customWidth="1" outlineLevel="1"/>
    <col min="6" max="6" width="12.00390625" style="53" customWidth="1" outlineLevel="1"/>
    <col min="7" max="7" width="11.28125" style="53" customWidth="1" outlineLevel="1"/>
    <col min="8" max="8" width="12.140625" style="53" customWidth="1" outlineLevel="1"/>
    <col min="9" max="9" width="12.421875" style="53" customWidth="1" outlineLevel="1"/>
    <col min="10" max="10" width="14.8515625" style="53" customWidth="1" outlineLevel="1"/>
    <col min="11" max="11" width="13.28125" style="53" customWidth="1" outlineLevel="1"/>
    <col min="12" max="12" width="13.8515625" style="53" customWidth="1" outlineLevel="1"/>
    <col min="13" max="13" width="13.28125" style="53" customWidth="1"/>
    <col min="14" max="14" width="15.421875" style="53" customWidth="1" outlineLevel="1"/>
    <col min="15" max="15" width="13.421875" style="53" customWidth="1" outlineLevel="1" collapsed="1"/>
    <col min="16" max="16" width="14.8515625" style="53" customWidth="1" outlineLevel="1"/>
    <col min="17" max="18" width="13.28125" style="53" customWidth="1" outlineLevel="1"/>
    <col min="19" max="19" width="12.28125" style="53" customWidth="1" outlineLevel="1"/>
    <col min="20" max="20" width="13.28125" style="53" bestFit="1" customWidth="1"/>
    <col min="21" max="22" width="14.8515625" style="53" bestFit="1" customWidth="1"/>
    <col min="23" max="23" width="14.00390625" style="53" bestFit="1" customWidth="1"/>
    <col min="24" max="24" width="12.28125" style="53" customWidth="1"/>
    <col min="25" max="25" width="13.00390625" style="54" customWidth="1"/>
    <col min="26" max="16384" width="9.140625" style="53" customWidth="1"/>
  </cols>
  <sheetData>
    <row r="1" spans="24:25" ht="12.75">
      <c r="X1" s="54"/>
      <c r="Y1" s="53"/>
    </row>
    <row r="2" spans="3:25" ht="12.75"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4"/>
      <c r="Y2" s="53"/>
    </row>
    <row r="3" spans="3:25" ht="12.75"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4"/>
      <c r="Y3" s="53"/>
    </row>
    <row r="4" spans="3:25" ht="12.75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4"/>
      <c r="Y4" s="53"/>
    </row>
    <row r="5" spans="3:25" ht="12.75"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4"/>
      <c r="Y5" s="53"/>
    </row>
    <row r="6" spans="3:25" ht="12.75"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4"/>
      <c r="Y6" s="53"/>
    </row>
    <row r="7" spans="3:25" ht="12.75"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4"/>
      <c r="Y7" s="57"/>
    </row>
    <row r="8" spans="3:25" ht="12.75" customHeight="1"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9"/>
      <c r="U8" s="58"/>
      <c r="V8" s="58"/>
      <c r="W8" s="58"/>
      <c r="X8" s="54"/>
      <c r="Y8" s="53"/>
    </row>
    <row r="9" spans="3:25" ht="30" customHeight="1">
      <c r="C9" s="60"/>
      <c r="D9" s="61"/>
      <c r="E9" s="61"/>
      <c r="F9" s="61"/>
      <c r="G9" s="60"/>
      <c r="H9" s="62"/>
      <c r="I9" s="62"/>
      <c r="J9" s="62"/>
      <c r="K9" s="60"/>
      <c r="L9" s="60"/>
      <c r="M9" s="62"/>
      <c r="N9" s="60"/>
      <c r="O9" s="62"/>
      <c r="P9" s="62"/>
      <c r="Q9" s="60"/>
      <c r="R9" s="62"/>
      <c r="S9" s="62"/>
      <c r="T9" s="63"/>
      <c r="U9" s="58"/>
      <c r="V9" s="58"/>
      <c r="W9" s="58"/>
      <c r="X9" s="54"/>
      <c r="Y9" s="57"/>
    </row>
    <row r="10" spans="3:23" s="64" customFormat="1" ht="38.25" customHeight="1">
      <c r="C10" s="65" t="s">
        <v>12</v>
      </c>
      <c r="D10" s="66" t="s">
        <v>15</v>
      </c>
      <c r="E10" s="66" t="s">
        <v>1</v>
      </c>
      <c r="F10" s="66" t="s">
        <v>2</v>
      </c>
      <c r="G10" s="66" t="s">
        <v>3</v>
      </c>
      <c r="H10" s="66" t="s">
        <v>4</v>
      </c>
      <c r="I10" s="66" t="s">
        <v>5</v>
      </c>
      <c r="J10" s="66" t="s">
        <v>14</v>
      </c>
      <c r="K10" s="66" t="s">
        <v>6</v>
      </c>
      <c r="L10" s="66" t="s">
        <v>7</v>
      </c>
      <c r="M10" s="66" t="s">
        <v>20</v>
      </c>
      <c r="N10" s="66" t="s">
        <v>16</v>
      </c>
      <c r="O10" s="66" t="s">
        <v>8</v>
      </c>
      <c r="P10" s="66" t="s">
        <v>9</v>
      </c>
      <c r="Q10" s="66" t="s">
        <v>10</v>
      </c>
      <c r="R10" s="66" t="s">
        <v>11</v>
      </c>
      <c r="S10" s="66" t="s">
        <v>76</v>
      </c>
      <c r="T10" s="66" t="s">
        <v>84</v>
      </c>
      <c r="U10" s="66" t="s">
        <v>77</v>
      </c>
      <c r="V10" s="67" t="s">
        <v>85</v>
      </c>
      <c r="W10" s="67" t="s">
        <v>86</v>
      </c>
    </row>
    <row r="11" spans="1:25" ht="12" customHeight="1">
      <c r="A11" s="68">
        <v>511101</v>
      </c>
      <c r="B11" s="69">
        <v>511101</v>
      </c>
      <c r="C11" s="70" t="s">
        <v>66</v>
      </c>
      <c r="D11" s="71">
        <v>1529434.4352</v>
      </c>
      <c r="E11" s="71">
        <v>426350.5714</v>
      </c>
      <c r="F11" s="71">
        <v>89990.2174</v>
      </c>
      <c r="G11" s="71">
        <v>1108343.62335</v>
      </c>
      <c r="H11" s="71">
        <v>744266.8478428643</v>
      </c>
      <c r="I11" s="71">
        <v>852927.3203</v>
      </c>
      <c r="J11" s="71">
        <v>1309550.7866500001</v>
      </c>
      <c r="K11" s="71">
        <v>1453160.6124500001</v>
      </c>
      <c r="L11" s="72">
        <f>-3464856+722330+1500000</f>
        <v>-1242526</v>
      </c>
      <c r="M11" s="71">
        <v>952758.96</v>
      </c>
      <c r="N11" s="71">
        <v>12694953.738935992</v>
      </c>
      <c r="O11" s="71">
        <v>8649929.43706296</v>
      </c>
      <c r="P11" s="71">
        <v>9218078.707824156</v>
      </c>
      <c r="Q11" s="71">
        <v>1113031.6349</v>
      </c>
      <c r="R11" s="71">
        <v>2273834.575968331</v>
      </c>
      <c r="S11" s="71">
        <v>6786669.61223666</v>
      </c>
      <c r="T11" s="73">
        <f>SUM(D11:S11)</f>
        <v>47960755.08152096</v>
      </c>
      <c r="U11" s="74">
        <v>47072500.37</v>
      </c>
      <c r="V11" s="74">
        <f aca="true" t="shared" si="0" ref="V11:V74">T11-U11</f>
        <v>888254.7115209624</v>
      </c>
      <c r="W11" s="75">
        <f aca="true" t="shared" si="1" ref="W11:W74">IF(U11=0,100%,V11/U11)</f>
        <v>0.018869928398514823</v>
      </c>
      <c r="X11" s="76">
        <f>T11*8.02%</f>
        <v>3846452.557537981</v>
      </c>
      <c r="Y11" s="53" t="s">
        <v>87</v>
      </c>
    </row>
    <row r="12" spans="1:25" ht="12" customHeight="1">
      <c r="A12" s="68">
        <v>511301</v>
      </c>
      <c r="B12" s="69">
        <v>511301</v>
      </c>
      <c r="C12" s="70" t="s">
        <v>68</v>
      </c>
      <c r="D12" s="77">
        <v>0</v>
      </c>
      <c r="E12" s="77">
        <v>0</v>
      </c>
      <c r="F12" s="77">
        <v>0</v>
      </c>
      <c r="G12" s="78">
        <v>144</v>
      </c>
      <c r="H12" s="77">
        <v>0</v>
      </c>
      <c r="I12" s="77">
        <v>0</v>
      </c>
      <c r="J12" s="77">
        <v>0</v>
      </c>
      <c r="K12" s="77">
        <v>721</v>
      </c>
      <c r="L12" s="77">
        <v>0</v>
      </c>
      <c r="M12" s="77">
        <v>0</v>
      </c>
      <c r="N12" s="77">
        <v>343020.43000000005</v>
      </c>
      <c r="O12" s="77">
        <v>88215.21</v>
      </c>
      <c r="P12" s="77">
        <v>309305.83999999997</v>
      </c>
      <c r="Q12" s="77">
        <v>0</v>
      </c>
      <c r="R12" s="77">
        <v>0</v>
      </c>
      <c r="S12" s="77">
        <v>23270</v>
      </c>
      <c r="T12" s="79">
        <f aca="true" t="shared" si="2" ref="T12:T38">SUM(D12:S12)</f>
        <v>764676.48</v>
      </c>
      <c r="U12" s="80">
        <v>814062.81</v>
      </c>
      <c r="V12" s="81">
        <f t="shared" si="0"/>
        <v>-49386.330000000075</v>
      </c>
      <c r="W12" s="75">
        <f t="shared" si="1"/>
        <v>-0.06066648591894288</v>
      </c>
      <c r="X12" s="82">
        <f>T11*3.5%</f>
        <v>1678626.4278532336</v>
      </c>
      <c r="Y12" s="83" t="s">
        <v>88</v>
      </c>
    </row>
    <row r="13" spans="1:25" ht="12" customHeight="1">
      <c r="A13" s="68">
        <v>512101</v>
      </c>
      <c r="B13" s="69">
        <v>512101</v>
      </c>
      <c r="C13" s="70" t="s">
        <v>69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f>9769173-4884587</f>
        <v>4884586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9">
        <f t="shared" si="2"/>
        <v>4884586</v>
      </c>
      <c r="U13" s="80">
        <v>9544923</v>
      </c>
      <c r="V13" s="81">
        <f t="shared" si="0"/>
        <v>-4660337</v>
      </c>
      <c r="W13" s="75">
        <f t="shared" si="1"/>
        <v>-0.488252969667749</v>
      </c>
      <c r="X13" s="84"/>
      <c r="Y13" s="53"/>
    </row>
    <row r="14" spans="1:25" ht="12" customHeight="1">
      <c r="A14" s="68">
        <v>512401</v>
      </c>
      <c r="B14" s="69">
        <v>512401</v>
      </c>
      <c r="C14" s="70" t="s">
        <v>70</v>
      </c>
      <c r="D14" s="77">
        <v>226403.831794</v>
      </c>
      <c r="E14" s="77">
        <v>47352.016681</v>
      </c>
      <c r="F14" s="77">
        <v>14092.237845</v>
      </c>
      <c r="G14" s="77">
        <v>172316.220293</v>
      </c>
      <c r="H14" s="77">
        <v>112714.82258313565</v>
      </c>
      <c r="I14" s="77">
        <v>119122.714681</v>
      </c>
      <c r="J14" s="77">
        <v>205075.74398799997</v>
      </c>
      <c r="K14" s="77">
        <v>227564.938209</v>
      </c>
      <c r="L14" s="77">
        <v>0</v>
      </c>
      <c r="M14" s="77">
        <v>149201.89</v>
      </c>
      <c r="N14" s="77">
        <v>2004657.7446639999</v>
      </c>
      <c r="O14" s="77">
        <v>1354578.5902150397</v>
      </c>
      <c r="P14" s="77">
        <v>1443551.2397748441</v>
      </c>
      <c r="Q14" s="77">
        <v>163268.603435</v>
      </c>
      <c r="R14" s="77">
        <v>340128.80644766876</v>
      </c>
      <c r="S14" s="77">
        <v>1062791.6889083376</v>
      </c>
      <c r="T14" s="79">
        <f t="shared" si="2"/>
        <v>7642821.089519026</v>
      </c>
      <c r="U14" s="80">
        <v>6079141.3</v>
      </c>
      <c r="V14" s="81">
        <f t="shared" si="0"/>
        <v>1563679.789519026</v>
      </c>
      <c r="W14" s="75">
        <f t="shared" si="1"/>
        <v>0.2572205040733345</v>
      </c>
      <c r="X14" s="84"/>
      <c r="Y14" s="53"/>
    </row>
    <row r="15" spans="1:25" ht="12" customHeight="1">
      <c r="A15" s="68">
        <v>512501</v>
      </c>
      <c r="B15" s="69">
        <v>512501</v>
      </c>
      <c r="C15" s="70" t="s">
        <v>72</v>
      </c>
      <c r="D15" s="77">
        <v>0</v>
      </c>
      <c r="E15" s="77">
        <v>0</v>
      </c>
      <c r="F15" s="77">
        <v>0</v>
      </c>
      <c r="G15" s="77">
        <v>11770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9">
        <f t="shared" si="2"/>
        <v>11770</v>
      </c>
      <c r="U15" s="80">
        <v>11770</v>
      </c>
      <c r="V15" s="81">
        <f t="shared" si="0"/>
        <v>0</v>
      </c>
      <c r="W15" s="75">
        <f t="shared" si="1"/>
        <v>0</v>
      </c>
      <c r="X15" s="54"/>
      <c r="Y15" s="53"/>
    </row>
    <row r="16" spans="1:25" ht="12" customHeight="1">
      <c r="A16" s="68">
        <v>512601</v>
      </c>
      <c r="B16" s="69">
        <v>512601</v>
      </c>
      <c r="C16" s="70" t="s">
        <v>73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123661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9">
        <f t="shared" si="2"/>
        <v>123661</v>
      </c>
      <c r="U16" s="80">
        <v>123661</v>
      </c>
      <c r="V16" s="81">
        <f t="shared" si="0"/>
        <v>0</v>
      </c>
      <c r="W16" s="75">
        <f t="shared" si="1"/>
        <v>0</v>
      </c>
      <c r="X16" s="54"/>
      <c r="Y16" s="53"/>
    </row>
    <row r="17" spans="1:25" ht="12" customHeight="1">
      <c r="A17" s="68">
        <v>512701</v>
      </c>
      <c r="B17" s="69">
        <v>512701</v>
      </c>
      <c r="C17" s="70" t="s">
        <v>75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f>237285+14237</f>
        <v>251522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9">
        <f t="shared" si="2"/>
        <v>251522</v>
      </c>
      <c r="U17" s="80">
        <v>237285</v>
      </c>
      <c r="V17" s="81">
        <f t="shared" si="0"/>
        <v>14237</v>
      </c>
      <c r="W17" s="75">
        <f t="shared" si="1"/>
        <v>0.05999957856585962</v>
      </c>
      <c r="X17" s="54"/>
      <c r="Y17" s="53"/>
    </row>
    <row r="18" spans="1:25" ht="12" customHeight="1">
      <c r="A18" s="68">
        <v>521101</v>
      </c>
      <c r="B18" s="69">
        <v>521101</v>
      </c>
      <c r="C18" s="70" t="s">
        <v>23</v>
      </c>
      <c r="D18" s="77">
        <v>2308</v>
      </c>
      <c r="E18" s="77">
        <v>2801</v>
      </c>
      <c r="F18" s="77">
        <v>51918</v>
      </c>
      <c r="G18" s="77">
        <v>3366</v>
      </c>
      <c r="H18" s="77">
        <v>330</v>
      </c>
      <c r="I18" s="77">
        <v>2300</v>
      </c>
      <c r="J18" s="77">
        <v>1581</v>
      </c>
      <c r="K18" s="77">
        <v>8902</v>
      </c>
      <c r="L18" s="77">
        <v>0</v>
      </c>
      <c r="M18" s="77">
        <v>0</v>
      </c>
      <c r="N18" s="77">
        <v>13516.13</v>
      </c>
      <c r="O18" s="77">
        <v>0</v>
      </c>
      <c r="P18" s="77">
        <v>6100</v>
      </c>
      <c r="Q18" s="77">
        <v>780</v>
      </c>
      <c r="R18" s="77">
        <v>500</v>
      </c>
      <c r="S18" s="77">
        <v>1000</v>
      </c>
      <c r="T18" s="79">
        <f t="shared" si="2"/>
        <v>95402.13</v>
      </c>
      <c r="U18" s="80">
        <v>91271.85</v>
      </c>
      <c r="V18" s="81">
        <f t="shared" si="0"/>
        <v>4130.279999999999</v>
      </c>
      <c r="W18" s="75">
        <f>IF(U18=0,100%,V18/U18)</f>
        <v>0.045252506660049055</v>
      </c>
      <c r="X18" s="54"/>
      <c r="Y18" s="53"/>
    </row>
    <row r="19" spans="1:25" ht="12" customHeight="1">
      <c r="A19" s="68">
        <v>521201</v>
      </c>
      <c r="B19" s="69">
        <v>521201</v>
      </c>
      <c r="C19" s="70" t="s">
        <v>39</v>
      </c>
      <c r="D19" s="77">
        <v>710</v>
      </c>
      <c r="E19" s="77">
        <v>60000</v>
      </c>
      <c r="F19" s="77">
        <v>0</v>
      </c>
      <c r="G19" s="77">
        <f>135251+150000-50000</f>
        <v>235251</v>
      </c>
      <c r="H19" s="77">
        <v>100000</v>
      </c>
      <c r="I19" s="77">
        <v>0</v>
      </c>
      <c r="J19" s="77">
        <v>0</v>
      </c>
      <c r="K19" s="77">
        <v>1797950</v>
      </c>
      <c r="L19" s="77">
        <v>42000</v>
      </c>
      <c r="M19" s="77">
        <f>388892</f>
        <v>388892</v>
      </c>
      <c r="N19" s="77">
        <v>14793923</v>
      </c>
      <c r="O19" s="77">
        <v>575000</v>
      </c>
      <c r="P19" s="77">
        <v>400000</v>
      </c>
      <c r="Q19" s="77">
        <v>64000</v>
      </c>
      <c r="R19" s="77">
        <v>0</v>
      </c>
      <c r="S19" s="77">
        <v>46459</v>
      </c>
      <c r="T19" s="79">
        <f t="shared" si="2"/>
        <v>18504185</v>
      </c>
      <c r="U19" s="80">
        <v>13014613.71</v>
      </c>
      <c r="V19" s="81">
        <f t="shared" si="0"/>
        <v>5489571.289999999</v>
      </c>
      <c r="W19" s="75">
        <f t="shared" si="1"/>
        <v>0.42180055530822197</v>
      </c>
      <c r="X19" s="54"/>
      <c r="Y19" s="53"/>
    </row>
    <row r="20" spans="1:25" ht="12" customHeight="1">
      <c r="A20" s="68">
        <v>521202</v>
      </c>
      <c r="B20" s="69">
        <v>521202</v>
      </c>
      <c r="C20" s="70" t="s">
        <v>40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f>1738181+290000</f>
        <v>2028181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9">
        <f t="shared" si="2"/>
        <v>2028181</v>
      </c>
      <c r="U20" s="80">
        <v>2028181</v>
      </c>
      <c r="V20" s="81">
        <f t="shared" si="0"/>
        <v>0</v>
      </c>
      <c r="W20" s="75">
        <f t="shared" si="1"/>
        <v>0</v>
      </c>
      <c r="X20" s="54"/>
      <c r="Y20" s="53"/>
    </row>
    <row r="21" spans="1:25" ht="12" customHeight="1">
      <c r="A21" s="68">
        <v>521203</v>
      </c>
      <c r="B21" s="69">
        <v>521203</v>
      </c>
      <c r="C21" s="70" t="s">
        <v>41</v>
      </c>
      <c r="D21" s="77">
        <v>0</v>
      </c>
      <c r="E21" s="77">
        <v>0</v>
      </c>
      <c r="F21" s="77">
        <v>0</v>
      </c>
      <c r="G21" s="77">
        <v>0</v>
      </c>
      <c r="H21" s="77">
        <f>185083+104670</f>
        <v>289753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9">
        <f t="shared" si="2"/>
        <v>289753</v>
      </c>
      <c r="U21" s="80">
        <v>289753</v>
      </c>
      <c r="V21" s="81">
        <f t="shared" si="0"/>
        <v>0</v>
      </c>
      <c r="W21" s="75">
        <f t="shared" si="1"/>
        <v>0</v>
      </c>
      <c r="X21" s="54"/>
      <c r="Y21" s="53"/>
    </row>
    <row r="22" spans="1:25" ht="12" customHeight="1">
      <c r="A22" s="68">
        <v>521204</v>
      </c>
      <c r="B22" s="69">
        <v>521204</v>
      </c>
      <c r="C22" s="70" t="s">
        <v>42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469531</v>
      </c>
      <c r="N22" s="77">
        <v>0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9">
        <f t="shared" si="2"/>
        <v>469531</v>
      </c>
      <c r="U22" s="80">
        <v>469531</v>
      </c>
      <c r="V22" s="81">
        <f t="shared" si="0"/>
        <v>0</v>
      </c>
      <c r="W22" s="75">
        <f t="shared" si="1"/>
        <v>0</v>
      </c>
      <c r="X22" s="54"/>
      <c r="Y22" s="53"/>
    </row>
    <row r="23" spans="1:25" ht="12" customHeight="1">
      <c r="A23" s="68">
        <v>521205</v>
      </c>
      <c r="B23" s="69">
        <v>521205</v>
      </c>
      <c r="C23" s="70" t="s">
        <v>89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9">
        <v>91000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9">
        <f t="shared" si="2"/>
        <v>91000</v>
      </c>
      <c r="U23" s="80">
        <v>91000</v>
      </c>
      <c r="V23" s="81">
        <f t="shared" si="0"/>
        <v>0</v>
      </c>
      <c r="W23" s="75">
        <f t="shared" si="1"/>
        <v>0</v>
      </c>
      <c r="X23" s="54"/>
      <c r="Y23" s="53"/>
    </row>
    <row r="24" spans="1:25" ht="12" customHeight="1">
      <c r="A24" s="68">
        <v>521207</v>
      </c>
      <c r="B24" s="69">
        <v>521207</v>
      </c>
      <c r="C24" s="70" t="s">
        <v>43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f>950000+150000</f>
        <v>1100000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500000</v>
      </c>
      <c r="T24" s="79">
        <f t="shared" si="2"/>
        <v>1600000</v>
      </c>
      <c r="U24" s="80">
        <v>1300000</v>
      </c>
      <c r="V24" s="81">
        <f t="shared" si="0"/>
        <v>300000</v>
      </c>
      <c r="W24" s="75">
        <f t="shared" si="1"/>
        <v>0.23076923076923078</v>
      </c>
      <c r="X24" s="54"/>
      <c r="Y24" s="53"/>
    </row>
    <row r="25" spans="1:25" ht="12" customHeight="1">
      <c r="A25" s="68">
        <v>521208</v>
      </c>
      <c r="B25" s="69">
        <v>521208</v>
      </c>
      <c r="C25" s="70" t="s">
        <v>44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10691041</v>
      </c>
      <c r="T25" s="79">
        <f t="shared" si="2"/>
        <v>10691041</v>
      </c>
      <c r="U25" s="80">
        <v>11691041</v>
      </c>
      <c r="V25" s="81">
        <f t="shared" si="0"/>
        <v>-1000000</v>
      </c>
      <c r="W25" s="75">
        <f t="shared" si="1"/>
        <v>-0.08553558233180433</v>
      </c>
      <c r="X25" s="54"/>
      <c r="Y25" s="53"/>
    </row>
    <row r="26" spans="1:25" ht="12" customHeight="1">
      <c r="A26" s="68">
        <v>521209</v>
      </c>
      <c r="B26" s="69">
        <v>521209</v>
      </c>
      <c r="C26" s="70" t="s">
        <v>45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50142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  <c r="T26" s="79">
        <f t="shared" si="2"/>
        <v>50142</v>
      </c>
      <c r="U26" s="80">
        <v>50142</v>
      </c>
      <c r="V26" s="81">
        <f t="shared" si="0"/>
        <v>0</v>
      </c>
      <c r="W26" s="75">
        <f t="shared" si="1"/>
        <v>0</v>
      </c>
      <c r="X26" s="54"/>
      <c r="Y26" s="53"/>
    </row>
    <row r="27" spans="1:25" ht="12" customHeight="1">
      <c r="A27" s="68">
        <v>521212</v>
      </c>
      <c r="B27" s="69">
        <v>521212</v>
      </c>
      <c r="C27" s="70" t="s">
        <v>46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6791120.01</v>
      </c>
      <c r="P27" s="77">
        <v>27897674.810000002</v>
      </c>
      <c r="Q27" s="77">
        <v>0</v>
      </c>
      <c r="R27" s="77">
        <v>0</v>
      </c>
      <c r="S27" s="77">
        <v>51542</v>
      </c>
      <c r="T27" s="79">
        <f t="shared" si="2"/>
        <v>34740336.82</v>
      </c>
      <c r="U27" s="80">
        <v>34634790.7</v>
      </c>
      <c r="V27" s="81">
        <f t="shared" si="0"/>
        <v>105546.11999999732</v>
      </c>
      <c r="W27" s="75">
        <f t="shared" si="1"/>
        <v>0.0030474016983159454</v>
      </c>
      <c r="X27" s="54"/>
      <c r="Y27" s="53"/>
    </row>
    <row r="28" spans="1:25" ht="12" customHeight="1">
      <c r="A28" s="68">
        <v>521213</v>
      </c>
      <c r="B28" s="69">
        <v>521213</v>
      </c>
      <c r="C28" s="70" t="s">
        <v>90</v>
      </c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f>40664758+130000</f>
        <v>40794758</v>
      </c>
      <c r="S28" s="77">
        <v>0</v>
      </c>
      <c r="T28" s="79">
        <f t="shared" si="2"/>
        <v>40794758</v>
      </c>
      <c r="U28" s="80">
        <v>14295973</v>
      </c>
      <c r="V28" s="81">
        <f t="shared" si="0"/>
        <v>26498785</v>
      </c>
      <c r="W28" s="75">
        <f t="shared" si="1"/>
        <v>1.8535838728850424</v>
      </c>
      <c r="X28" s="54"/>
      <c r="Y28" s="53"/>
    </row>
    <row r="29" spans="1:25" ht="12" customHeight="1">
      <c r="A29" s="68">
        <v>521301</v>
      </c>
      <c r="B29" s="69">
        <v>521301</v>
      </c>
      <c r="C29" s="70" t="s">
        <v>91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31838473</v>
      </c>
      <c r="P29" s="77">
        <v>0</v>
      </c>
      <c r="Q29" s="77">
        <v>0</v>
      </c>
      <c r="R29" s="77">
        <v>1933426</v>
      </c>
      <c r="S29" s="77">
        <v>0</v>
      </c>
      <c r="T29" s="79">
        <f t="shared" si="2"/>
        <v>33771899</v>
      </c>
      <c r="U29" s="80">
        <v>14846965</v>
      </c>
      <c r="V29" s="81">
        <f t="shared" si="0"/>
        <v>18924934</v>
      </c>
      <c r="W29" s="75">
        <f t="shared" si="1"/>
        <v>1.2746668426846834</v>
      </c>
      <c r="X29" s="54"/>
      <c r="Y29" s="53"/>
    </row>
    <row r="30" spans="1:25" ht="12" customHeight="1">
      <c r="A30" s="68">
        <v>522202</v>
      </c>
      <c r="B30" s="69">
        <v>522202</v>
      </c>
      <c r="C30" s="70" t="s">
        <v>48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611500</v>
      </c>
      <c r="Q30" s="77">
        <v>0</v>
      </c>
      <c r="R30" s="77">
        <v>0</v>
      </c>
      <c r="S30" s="77">
        <v>0</v>
      </c>
      <c r="T30" s="79">
        <f t="shared" si="2"/>
        <v>611500</v>
      </c>
      <c r="U30" s="80">
        <v>591500.26</v>
      </c>
      <c r="V30" s="81">
        <f t="shared" si="0"/>
        <v>19999.73999999999</v>
      </c>
      <c r="W30" s="75">
        <f t="shared" si="1"/>
        <v>0.03381188708184167</v>
      </c>
      <c r="X30" s="54"/>
      <c r="Y30" s="53"/>
    </row>
    <row r="31" spans="1:25" ht="12" customHeight="1">
      <c r="A31" s="68">
        <v>522203</v>
      </c>
      <c r="B31" s="69">
        <v>522203</v>
      </c>
      <c r="C31" s="70" t="s">
        <v>92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3289700</v>
      </c>
      <c r="S31" s="77">
        <v>0</v>
      </c>
      <c r="T31" s="79">
        <f t="shared" si="2"/>
        <v>3289700</v>
      </c>
      <c r="U31" s="80">
        <v>3813208</v>
      </c>
      <c r="V31" s="81">
        <f t="shared" si="0"/>
        <v>-523508</v>
      </c>
      <c r="W31" s="75">
        <f t="shared" si="1"/>
        <v>-0.1372880786990901</v>
      </c>
      <c r="X31" s="54"/>
      <c r="Y31" s="53"/>
    </row>
    <row r="32" spans="1:25" ht="12" customHeight="1">
      <c r="A32" s="68">
        <v>522204</v>
      </c>
      <c r="B32" s="69">
        <v>522204</v>
      </c>
      <c r="C32" s="70" t="s">
        <v>93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7637835</v>
      </c>
      <c r="S32" s="77">
        <v>0</v>
      </c>
      <c r="T32" s="79">
        <f t="shared" si="2"/>
        <v>7637835</v>
      </c>
      <c r="U32" s="80">
        <v>7005172</v>
      </c>
      <c r="V32" s="81">
        <f t="shared" si="0"/>
        <v>632663</v>
      </c>
      <c r="W32" s="75">
        <f t="shared" si="1"/>
        <v>0.0903136996493448</v>
      </c>
      <c r="X32" s="54"/>
      <c r="Y32" s="53"/>
    </row>
    <row r="33" spans="1:25" ht="12" customHeight="1">
      <c r="A33" s="68">
        <v>522205</v>
      </c>
      <c r="B33" s="69">
        <v>522205</v>
      </c>
      <c r="C33" s="70" t="s">
        <v>94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4906100</v>
      </c>
      <c r="S33" s="77">
        <v>0</v>
      </c>
      <c r="T33" s="79">
        <f t="shared" si="2"/>
        <v>4906100</v>
      </c>
      <c r="U33" s="80">
        <v>12605000</v>
      </c>
      <c r="V33" s="81">
        <f t="shared" si="0"/>
        <v>-7698900</v>
      </c>
      <c r="W33" s="75">
        <f t="shared" si="1"/>
        <v>-0.6107814359381198</v>
      </c>
      <c r="X33" s="54"/>
      <c r="Y33" s="53"/>
    </row>
    <row r="34" spans="1:25" ht="12" customHeight="1">
      <c r="A34" s="68">
        <v>522206</v>
      </c>
      <c r="B34" s="69">
        <v>522206</v>
      </c>
      <c r="C34" s="70" t="s">
        <v>95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2721400</v>
      </c>
      <c r="S34" s="77">
        <v>0</v>
      </c>
      <c r="T34" s="79">
        <f t="shared" si="2"/>
        <v>2721400</v>
      </c>
      <c r="U34" s="80">
        <v>2093636</v>
      </c>
      <c r="V34" s="81">
        <f t="shared" si="0"/>
        <v>627764</v>
      </c>
      <c r="W34" s="75">
        <f t="shared" si="1"/>
        <v>0.2998439079190461</v>
      </c>
      <c r="X34" s="54"/>
      <c r="Y34" s="53"/>
    </row>
    <row r="35" spans="1:25" ht="12" customHeight="1">
      <c r="A35" s="68">
        <v>522301</v>
      </c>
      <c r="B35" s="69">
        <v>522301</v>
      </c>
      <c r="C35" s="70" t="s">
        <v>49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318752.14</v>
      </c>
      <c r="Q35" s="77">
        <v>0</v>
      </c>
      <c r="R35" s="77">
        <v>0</v>
      </c>
      <c r="S35" s="77">
        <v>0</v>
      </c>
      <c r="T35" s="79">
        <f t="shared" si="2"/>
        <v>318752.14</v>
      </c>
      <c r="U35" s="80">
        <v>423151</v>
      </c>
      <c r="V35" s="81">
        <f t="shared" si="0"/>
        <v>-104398.85999999999</v>
      </c>
      <c r="W35" s="75">
        <f t="shared" si="1"/>
        <v>-0.24671774378413378</v>
      </c>
      <c r="X35" s="54"/>
      <c r="Y35" s="53"/>
    </row>
    <row r="36" spans="1:25" ht="12" customHeight="1">
      <c r="A36" s="68">
        <v>522302</v>
      </c>
      <c r="B36" s="69">
        <v>522302</v>
      </c>
      <c r="C36" s="70" t="s">
        <v>50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33904.2</v>
      </c>
      <c r="O36" s="77">
        <v>0</v>
      </c>
      <c r="P36" s="77">
        <v>128850</v>
      </c>
      <c r="Q36" s="77">
        <v>0</v>
      </c>
      <c r="R36" s="77">
        <v>0</v>
      </c>
      <c r="S36" s="77">
        <v>0</v>
      </c>
      <c r="T36" s="79">
        <f t="shared" si="2"/>
        <v>162754.2</v>
      </c>
      <c r="U36" s="80">
        <v>81622</v>
      </c>
      <c r="V36" s="81">
        <f t="shared" si="0"/>
        <v>81132.20000000001</v>
      </c>
      <c r="W36" s="75">
        <f t="shared" si="1"/>
        <v>0.9939991668912794</v>
      </c>
      <c r="X36" s="54"/>
      <c r="Y36" s="53"/>
    </row>
    <row r="37" spans="1:25" ht="12" customHeight="1">
      <c r="A37" s="68">
        <v>523101</v>
      </c>
      <c r="B37" s="69">
        <v>523101</v>
      </c>
      <c r="C37" s="70" t="s">
        <v>24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f>3977708+965203</f>
        <v>4942911</v>
      </c>
      <c r="T37" s="79">
        <f t="shared" si="2"/>
        <v>4942911</v>
      </c>
      <c r="U37" s="80">
        <v>3123455</v>
      </c>
      <c r="V37" s="81">
        <f t="shared" si="0"/>
        <v>1819456</v>
      </c>
      <c r="W37" s="75">
        <f t="shared" si="1"/>
        <v>0.5825139148795164</v>
      </c>
      <c r="X37" s="54"/>
      <c r="Y37" s="53"/>
    </row>
    <row r="38" spans="1:25" ht="12" customHeight="1">
      <c r="A38" s="68">
        <v>523201</v>
      </c>
      <c r="B38" s="69">
        <v>523201</v>
      </c>
      <c r="C38" s="70" t="s">
        <v>59</v>
      </c>
      <c r="D38" s="77">
        <v>0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12900000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  <c r="T38" s="79">
        <f t="shared" si="2"/>
        <v>12900000</v>
      </c>
      <c r="U38" s="80">
        <v>9905043.76</v>
      </c>
      <c r="V38" s="81">
        <f t="shared" si="0"/>
        <v>2994956.24</v>
      </c>
      <c r="W38" s="75">
        <f t="shared" si="1"/>
        <v>0.30236678530332917</v>
      </c>
      <c r="X38" s="54"/>
      <c r="Y38" s="53"/>
    </row>
    <row r="39" spans="1:25" ht="12" customHeight="1">
      <c r="A39" s="68">
        <v>523202</v>
      </c>
      <c r="B39" s="69">
        <v>523202</v>
      </c>
      <c r="C39" s="70" t="s">
        <v>60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1801100</v>
      </c>
      <c r="P39" s="77">
        <v>353812</v>
      </c>
      <c r="Q39" s="77">
        <v>0</v>
      </c>
      <c r="R39" s="77">
        <v>0</v>
      </c>
      <c r="S39" s="77">
        <v>0</v>
      </c>
      <c r="T39" s="79">
        <f aca="true" t="shared" si="3" ref="T39:T71">SUM(D39:S39)</f>
        <v>2154912</v>
      </c>
      <c r="U39" s="80">
        <v>1480052</v>
      </c>
      <c r="V39" s="81">
        <f t="shared" si="0"/>
        <v>674860</v>
      </c>
      <c r="W39" s="75">
        <f t="shared" si="1"/>
        <v>0.45597046590254936</v>
      </c>
      <c r="X39" s="54"/>
      <c r="Y39" s="53"/>
    </row>
    <row r="40" spans="1:25" ht="12" customHeight="1">
      <c r="A40" s="68">
        <v>523203</v>
      </c>
      <c r="B40" s="69">
        <v>523203</v>
      </c>
      <c r="C40" s="70" t="s">
        <v>34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44369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  <c r="T40" s="79">
        <f t="shared" si="3"/>
        <v>44369</v>
      </c>
      <c r="U40" s="80">
        <v>44369</v>
      </c>
      <c r="V40" s="81">
        <f t="shared" si="0"/>
        <v>0</v>
      </c>
      <c r="W40" s="75">
        <f t="shared" si="1"/>
        <v>0</v>
      </c>
      <c r="X40" s="54"/>
      <c r="Y40" s="53"/>
    </row>
    <row r="41" spans="1:25" ht="12" customHeight="1">
      <c r="A41" s="68">
        <v>523301</v>
      </c>
      <c r="B41" s="69">
        <v>523301</v>
      </c>
      <c r="C41" s="70" t="s">
        <v>25</v>
      </c>
      <c r="D41" s="77">
        <v>0</v>
      </c>
      <c r="E41" s="77">
        <v>0</v>
      </c>
      <c r="F41" s="77">
        <v>0</v>
      </c>
      <c r="G41" s="77">
        <v>157820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  <c r="S41" s="77">
        <v>0</v>
      </c>
      <c r="T41" s="79">
        <f t="shared" si="3"/>
        <v>157820</v>
      </c>
      <c r="U41" s="80">
        <v>75626</v>
      </c>
      <c r="V41" s="81">
        <f t="shared" si="0"/>
        <v>82194</v>
      </c>
      <c r="W41" s="75">
        <f t="shared" si="1"/>
        <v>1.086848438367757</v>
      </c>
      <c r="X41" s="54"/>
      <c r="Y41" s="53"/>
    </row>
    <row r="42" spans="1:25" ht="12" customHeight="1">
      <c r="A42" s="68">
        <v>523302</v>
      </c>
      <c r="B42" s="69">
        <v>523302</v>
      </c>
      <c r="C42" s="70" t="s">
        <v>82</v>
      </c>
      <c r="D42" s="77">
        <v>0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  <c r="K42" s="77">
        <v>1618782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  <c r="S42" s="77">
        <v>0</v>
      </c>
      <c r="T42" s="79">
        <f t="shared" si="3"/>
        <v>1618782</v>
      </c>
      <c r="U42" s="80">
        <v>1368782</v>
      </c>
      <c r="V42" s="81">
        <f t="shared" si="0"/>
        <v>250000</v>
      </c>
      <c r="W42" s="75">
        <f t="shared" si="1"/>
        <v>0.1826441317901609</v>
      </c>
      <c r="X42" s="54"/>
      <c r="Y42" s="53"/>
    </row>
    <row r="43" spans="1:25" ht="12" customHeight="1">
      <c r="A43" s="68">
        <v>523303</v>
      </c>
      <c r="B43" s="69">
        <v>523303</v>
      </c>
      <c r="C43" s="70" t="s">
        <v>35</v>
      </c>
      <c r="D43" s="77">
        <v>0</v>
      </c>
      <c r="E43" s="77">
        <v>0</v>
      </c>
      <c r="F43" s="77">
        <v>0</v>
      </c>
      <c r="G43" s="77">
        <v>0</v>
      </c>
      <c r="H43" s="77">
        <v>0</v>
      </c>
      <c r="I43" s="77">
        <v>0</v>
      </c>
      <c r="J43" s="77">
        <v>0</v>
      </c>
      <c r="K43" s="77">
        <v>1250499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77">
        <v>0</v>
      </c>
      <c r="S43" s="77">
        <v>0</v>
      </c>
      <c r="T43" s="79">
        <f t="shared" si="3"/>
        <v>1250499</v>
      </c>
      <c r="U43" s="80">
        <v>950499</v>
      </c>
      <c r="V43" s="81">
        <f t="shared" si="0"/>
        <v>300000</v>
      </c>
      <c r="W43" s="75">
        <f t="shared" si="1"/>
        <v>0.31562368818904596</v>
      </c>
      <c r="X43" s="54"/>
      <c r="Y43" s="53"/>
    </row>
    <row r="44" spans="1:25" ht="12" customHeight="1">
      <c r="A44" s="68">
        <v>523304</v>
      </c>
      <c r="B44" s="69">
        <v>523304</v>
      </c>
      <c r="C44" s="70" t="s">
        <v>36</v>
      </c>
      <c r="D44" s="77">
        <v>164</v>
      </c>
      <c r="E44" s="77">
        <v>107675</v>
      </c>
      <c r="F44" s="77">
        <v>0</v>
      </c>
      <c r="G44" s="77">
        <v>34847</v>
      </c>
      <c r="H44" s="77">
        <v>0</v>
      </c>
      <c r="I44" s="77">
        <v>0</v>
      </c>
      <c r="J44" s="77">
        <v>100800</v>
      </c>
      <c r="K44" s="77">
        <v>1189711</v>
      </c>
      <c r="L44" s="77">
        <v>0</v>
      </c>
      <c r="M44" s="77">
        <v>0</v>
      </c>
      <c r="N44" s="77">
        <f>138513.43+95699</f>
        <v>234212.43</v>
      </c>
      <c r="O44" s="77">
        <v>0</v>
      </c>
      <c r="P44" s="77">
        <v>0</v>
      </c>
      <c r="Q44" s="77">
        <v>0</v>
      </c>
      <c r="R44" s="77">
        <v>0</v>
      </c>
      <c r="S44" s="77">
        <v>5080</v>
      </c>
      <c r="T44" s="79">
        <f t="shared" si="3"/>
        <v>1672489.43</v>
      </c>
      <c r="U44" s="80">
        <v>1384927.85</v>
      </c>
      <c r="V44" s="81">
        <f t="shared" si="0"/>
        <v>287561.57999999984</v>
      </c>
      <c r="W44" s="75">
        <f t="shared" si="1"/>
        <v>0.20763650611835108</v>
      </c>
      <c r="X44" s="54"/>
      <c r="Y44" s="53"/>
    </row>
    <row r="45" spans="1:25" ht="12" customHeight="1">
      <c r="A45" s="68">
        <v>523305</v>
      </c>
      <c r="B45" s="69">
        <v>523305</v>
      </c>
      <c r="C45" s="70" t="s">
        <v>26</v>
      </c>
      <c r="D45" s="77">
        <v>0</v>
      </c>
      <c r="E45" s="77">
        <v>0</v>
      </c>
      <c r="F45" s="77">
        <v>0</v>
      </c>
      <c r="G45" s="77">
        <v>0</v>
      </c>
      <c r="H45" s="77">
        <v>0</v>
      </c>
      <c r="I45" s="77">
        <v>0</v>
      </c>
      <c r="J45" s="77">
        <v>0</v>
      </c>
      <c r="K45" s="77">
        <v>331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  <c r="T45" s="79">
        <f t="shared" si="3"/>
        <v>331</v>
      </c>
      <c r="U45" s="80">
        <v>331</v>
      </c>
      <c r="V45" s="81">
        <f t="shared" si="0"/>
        <v>0</v>
      </c>
      <c r="W45" s="75">
        <f t="shared" si="1"/>
        <v>0</v>
      </c>
      <c r="X45" s="54"/>
      <c r="Y45" s="53"/>
    </row>
    <row r="46" spans="1:25" ht="12" customHeight="1">
      <c r="A46" s="68">
        <v>523401</v>
      </c>
      <c r="B46" s="69">
        <v>523401</v>
      </c>
      <c r="C46" s="70" t="s">
        <v>37</v>
      </c>
      <c r="D46" s="77">
        <v>2900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5931</v>
      </c>
      <c r="L46" s="77">
        <v>0</v>
      </c>
      <c r="M46" s="77">
        <v>0</v>
      </c>
      <c r="N46" s="77">
        <v>152435</v>
      </c>
      <c r="O46" s="77">
        <v>0</v>
      </c>
      <c r="P46" s="77">
        <v>0</v>
      </c>
      <c r="Q46" s="77">
        <v>0</v>
      </c>
      <c r="R46" s="77">
        <v>0</v>
      </c>
      <c r="S46" s="77">
        <v>0</v>
      </c>
      <c r="T46" s="79">
        <f t="shared" si="3"/>
        <v>161266</v>
      </c>
      <c r="U46" s="80">
        <v>93480</v>
      </c>
      <c r="V46" s="81">
        <f t="shared" si="0"/>
        <v>67786</v>
      </c>
      <c r="W46" s="75">
        <f t="shared" si="1"/>
        <v>0.7251390671801455</v>
      </c>
      <c r="X46" s="54"/>
      <c r="Y46" s="53"/>
    </row>
    <row r="47" spans="1:25" ht="12" customHeight="1">
      <c r="A47" s="68">
        <v>523402</v>
      </c>
      <c r="B47" s="69">
        <v>523402</v>
      </c>
      <c r="C47" s="70" t="s">
        <v>38</v>
      </c>
      <c r="D47" s="77">
        <v>0</v>
      </c>
      <c r="E47" s="77">
        <v>0</v>
      </c>
      <c r="F47" s="77">
        <v>0</v>
      </c>
      <c r="G47" s="77">
        <v>0</v>
      </c>
      <c r="H47" s="77">
        <v>0</v>
      </c>
      <c r="I47" s="77">
        <v>0</v>
      </c>
      <c r="J47" s="77">
        <v>0</v>
      </c>
      <c r="K47" s="77">
        <v>16155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v>0</v>
      </c>
      <c r="T47" s="79">
        <f t="shared" si="3"/>
        <v>16155</v>
      </c>
      <c r="U47" s="80">
        <v>16155</v>
      </c>
      <c r="V47" s="81">
        <f t="shared" si="0"/>
        <v>0</v>
      </c>
      <c r="W47" s="75">
        <f t="shared" si="1"/>
        <v>0</v>
      </c>
      <c r="X47" s="54"/>
      <c r="Y47" s="53"/>
    </row>
    <row r="48" spans="1:25" ht="12" customHeight="1">
      <c r="A48" s="68">
        <v>523501</v>
      </c>
      <c r="B48" s="69">
        <v>523501</v>
      </c>
      <c r="C48" s="70" t="s">
        <v>27</v>
      </c>
      <c r="D48" s="77">
        <v>5826</v>
      </c>
      <c r="E48" s="77">
        <v>4902</v>
      </c>
      <c r="F48" s="77">
        <v>4926</v>
      </c>
      <c r="G48" s="77">
        <v>0</v>
      </c>
      <c r="H48" s="78">
        <v>170</v>
      </c>
      <c r="I48" s="77">
        <v>2804</v>
      </c>
      <c r="J48" s="77">
        <v>16720</v>
      </c>
      <c r="K48" s="77">
        <v>25822</v>
      </c>
      <c r="L48" s="77">
        <v>0</v>
      </c>
      <c r="M48" s="77">
        <v>1633</v>
      </c>
      <c r="N48" s="77">
        <v>19364.289999999997</v>
      </c>
      <c r="O48" s="77">
        <v>5900</v>
      </c>
      <c r="P48" s="77">
        <v>15350</v>
      </c>
      <c r="Q48" s="77">
        <v>1984</v>
      </c>
      <c r="R48" s="77">
        <v>2285</v>
      </c>
      <c r="S48" s="77">
        <v>3182</v>
      </c>
      <c r="T48" s="79">
        <f t="shared" si="3"/>
        <v>110868.29</v>
      </c>
      <c r="U48" s="80">
        <v>68554.25</v>
      </c>
      <c r="V48" s="81">
        <f t="shared" si="0"/>
        <v>42314.03999999999</v>
      </c>
      <c r="W48" s="75">
        <f t="shared" si="1"/>
        <v>0.6172343800712573</v>
      </c>
      <c r="X48" s="54"/>
      <c r="Y48" s="53"/>
    </row>
    <row r="49" spans="1:25" ht="12" customHeight="1">
      <c r="A49" s="68">
        <v>523601</v>
      </c>
      <c r="B49" s="69">
        <v>523601</v>
      </c>
      <c r="C49" s="70" t="s">
        <v>28</v>
      </c>
      <c r="D49" s="77">
        <v>4562</v>
      </c>
      <c r="E49" s="77">
        <v>60000</v>
      </c>
      <c r="F49" s="77">
        <v>9500</v>
      </c>
      <c r="G49" s="77">
        <v>2366</v>
      </c>
      <c r="H49" s="78">
        <v>3930</v>
      </c>
      <c r="I49" s="77">
        <v>77111</v>
      </c>
      <c r="J49" s="77">
        <v>66497.25</v>
      </c>
      <c r="K49" s="77">
        <v>16839</v>
      </c>
      <c r="L49" s="77">
        <v>1562</v>
      </c>
      <c r="M49" s="77">
        <v>475</v>
      </c>
      <c r="N49" s="77">
        <v>2512.8</v>
      </c>
      <c r="O49" s="77">
        <v>6565</v>
      </c>
      <c r="P49" s="77">
        <v>37235</v>
      </c>
      <c r="Q49" s="77">
        <v>9000</v>
      </c>
      <c r="R49" s="77">
        <v>1157</v>
      </c>
      <c r="S49" s="77">
        <v>3691</v>
      </c>
      <c r="T49" s="79">
        <f t="shared" si="3"/>
        <v>303003.05</v>
      </c>
      <c r="U49" s="80">
        <v>282134.11</v>
      </c>
      <c r="V49" s="81">
        <f t="shared" si="0"/>
        <v>20868.940000000002</v>
      </c>
      <c r="W49" s="75">
        <f t="shared" si="1"/>
        <v>0.07396815649125164</v>
      </c>
      <c r="X49" s="54"/>
      <c r="Y49" s="53"/>
    </row>
    <row r="50" spans="1:25" ht="12" customHeight="1">
      <c r="A50" s="68">
        <v>523701</v>
      </c>
      <c r="B50" s="69">
        <v>523701</v>
      </c>
      <c r="C50" s="70" t="s">
        <v>61</v>
      </c>
      <c r="D50" s="77">
        <v>3823</v>
      </c>
      <c r="E50" s="77">
        <v>2628</v>
      </c>
      <c r="F50" s="77">
        <v>0</v>
      </c>
      <c r="G50" s="77">
        <v>20159</v>
      </c>
      <c r="H50" s="78">
        <v>4565</v>
      </c>
      <c r="I50" s="77">
        <v>3423</v>
      </c>
      <c r="J50" s="77">
        <v>14844</v>
      </c>
      <c r="K50" s="77">
        <v>1454</v>
      </c>
      <c r="L50" s="77">
        <v>0</v>
      </c>
      <c r="M50" s="77">
        <v>1821</v>
      </c>
      <c r="N50" s="77">
        <v>29393.190000000002</v>
      </c>
      <c r="O50" s="77">
        <v>38500</v>
      </c>
      <c r="P50" s="77">
        <v>21894</v>
      </c>
      <c r="Q50" s="77">
        <v>709</v>
      </c>
      <c r="R50" s="77">
        <v>5486</v>
      </c>
      <c r="S50" s="77">
        <v>22471.99</v>
      </c>
      <c r="T50" s="79">
        <f t="shared" si="3"/>
        <v>171171.18</v>
      </c>
      <c r="U50" s="80">
        <v>161812.63</v>
      </c>
      <c r="V50" s="81">
        <f t="shared" si="0"/>
        <v>9358.549999999988</v>
      </c>
      <c r="W50" s="75">
        <f t="shared" si="1"/>
        <v>0.057835720240131984</v>
      </c>
      <c r="X50" s="54"/>
      <c r="Y50" s="53"/>
    </row>
    <row r="51" spans="1:25" ht="12" customHeight="1">
      <c r="A51" s="68">
        <v>523801</v>
      </c>
      <c r="B51" s="69">
        <v>523801</v>
      </c>
      <c r="C51" s="70" t="s">
        <v>51</v>
      </c>
      <c r="D51" s="77">
        <v>644</v>
      </c>
      <c r="E51" s="77">
        <v>0</v>
      </c>
      <c r="F51" s="77">
        <v>0</v>
      </c>
      <c r="G51" s="77">
        <v>0</v>
      </c>
      <c r="H51" s="78">
        <v>980</v>
      </c>
      <c r="I51" s="7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7373.333331</v>
      </c>
      <c r="Q51" s="77">
        <v>0</v>
      </c>
      <c r="R51" s="77">
        <v>667</v>
      </c>
      <c r="S51" s="77">
        <v>0</v>
      </c>
      <c r="T51" s="79">
        <f t="shared" si="3"/>
        <v>9664.333331</v>
      </c>
      <c r="U51" s="80">
        <v>8544.94</v>
      </c>
      <c r="V51" s="81">
        <f t="shared" si="0"/>
        <v>1119.3933309999993</v>
      </c>
      <c r="W51" s="75">
        <f t="shared" si="1"/>
        <v>0.13100072452234882</v>
      </c>
      <c r="X51" s="54"/>
      <c r="Y51" s="53"/>
    </row>
    <row r="52" spans="1:25" ht="12" customHeight="1">
      <c r="A52" s="68">
        <v>523851</v>
      </c>
      <c r="B52" s="69">
        <v>523851</v>
      </c>
      <c r="C52" s="70" t="s">
        <v>47</v>
      </c>
      <c r="D52" s="77">
        <v>0</v>
      </c>
      <c r="E52" s="77">
        <v>0</v>
      </c>
      <c r="F52" s="77">
        <v>0</v>
      </c>
      <c r="G52" s="77">
        <v>6366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  <c r="M52" s="77">
        <v>0</v>
      </c>
      <c r="N52" s="77">
        <v>16000000</v>
      </c>
      <c r="O52" s="77">
        <v>90000</v>
      </c>
      <c r="P52" s="77">
        <v>77000</v>
      </c>
      <c r="Q52" s="77">
        <v>0</v>
      </c>
      <c r="R52" s="77">
        <v>0</v>
      </c>
      <c r="S52" s="77">
        <v>0</v>
      </c>
      <c r="T52" s="79">
        <f t="shared" si="3"/>
        <v>16173366</v>
      </c>
      <c r="U52" s="80">
        <v>10597592</v>
      </c>
      <c r="V52" s="81">
        <f t="shared" si="0"/>
        <v>5575774</v>
      </c>
      <c r="W52" s="75">
        <f t="shared" si="1"/>
        <v>0.5261359372959442</v>
      </c>
      <c r="X52" s="54"/>
      <c r="Y52" s="53"/>
    </row>
    <row r="53" spans="1:25" ht="12" customHeight="1">
      <c r="A53" s="68">
        <v>523902</v>
      </c>
      <c r="B53" s="69">
        <v>523902</v>
      </c>
      <c r="C53" s="70" t="s">
        <v>29</v>
      </c>
      <c r="D53" s="77">
        <v>0</v>
      </c>
      <c r="E53" s="77">
        <v>0</v>
      </c>
      <c r="F53" s="77">
        <v>0</v>
      </c>
      <c r="G53" s="77">
        <v>0</v>
      </c>
      <c r="H53" s="77">
        <v>0</v>
      </c>
      <c r="I53" s="77">
        <v>0</v>
      </c>
      <c r="J53" s="77">
        <v>0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  <c r="P53" s="77">
        <v>0</v>
      </c>
      <c r="Q53" s="77">
        <v>0</v>
      </c>
      <c r="R53" s="77">
        <v>0</v>
      </c>
      <c r="S53" s="77">
        <v>6182</v>
      </c>
      <c r="T53" s="79">
        <f t="shared" si="3"/>
        <v>6182</v>
      </c>
      <c r="U53" s="80">
        <v>6182</v>
      </c>
      <c r="V53" s="81">
        <f t="shared" si="0"/>
        <v>0</v>
      </c>
      <c r="W53" s="75">
        <f t="shared" si="1"/>
        <v>0</v>
      </c>
      <c r="X53" s="54"/>
      <c r="Y53" s="53"/>
    </row>
    <row r="54" spans="1:25" ht="12" customHeight="1">
      <c r="A54" s="68">
        <v>531101</v>
      </c>
      <c r="B54" s="69">
        <v>531101</v>
      </c>
      <c r="C54" s="70" t="s">
        <v>30</v>
      </c>
      <c r="D54" s="77">
        <v>5442</v>
      </c>
      <c r="E54" s="77">
        <v>400</v>
      </c>
      <c r="F54" s="77">
        <v>2020</v>
      </c>
      <c r="G54" s="77">
        <v>4963</v>
      </c>
      <c r="H54" s="78">
        <v>850</v>
      </c>
      <c r="I54" s="77">
        <v>27256</v>
      </c>
      <c r="J54" s="77">
        <v>5527</v>
      </c>
      <c r="K54" s="77">
        <v>5583</v>
      </c>
      <c r="L54" s="77">
        <v>244165</v>
      </c>
      <c r="M54" s="77">
        <v>883</v>
      </c>
      <c r="N54" s="77">
        <v>50000</v>
      </c>
      <c r="O54" s="77">
        <v>37200</v>
      </c>
      <c r="P54" s="77">
        <v>19600</v>
      </c>
      <c r="Q54" s="77">
        <v>47126</v>
      </c>
      <c r="R54" s="77">
        <v>2041</v>
      </c>
      <c r="S54" s="77">
        <v>9854</v>
      </c>
      <c r="T54" s="79">
        <f t="shared" si="3"/>
        <v>462910</v>
      </c>
      <c r="U54" s="80">
        <v>525001.19</v>
      </c>
      <c r="V54" s="81">
        <f t="shared" si="0"/>
        <v>-62091.189999999944</v>
      </c>
      <c r="W54" s="75">
        <f t="shared" si="1"/>
        <v>-0.11826866525769199</v>
      </c>
      <c r="X54" s="54"/>
      <c r="Y54" s="53"/>
    </row>
    <row r="55" spans="1:25" ht="12" customHeight="1">
      <c r="A55" s="68">
        <v>531102</v>
      </c>
      <c r="B55" s="69">
        <v>531102</v>
      </c>
      <c r="C55" s="70" t="s">
        <v>52</v>
      </c>
      <c r="D55" s="77">
        <v>0</v>
      </c>
      <c r="E55" s="77">
        <v>0</v>
      </c>
      <c r="F55" s="77">
        <v>0</v>
      </c>
      <c r="G55" s="77">
        <v>0</v>
      </c>
      <c r="H55" s="77">
        <v>0</v>
      </c>
      <c r="I55" s="77">
        <v>0</v>
      </c>
      <c r="J55" s="77">
        <v>0</v>
      </c>
      <c r="K55" s="77">
        <v>948</v>
      </c>
      <c r="L55" s="77">
        <v>0</v>
      </c>
      <c r="M55" s="77">
        <v>0</v>
      </c>
      <c r="N55" s="77">
        <v>0</v>
      </c>
      <c r="O55" s="77">
        <v>224000</v>
      </c>
      <c r="P55" s="77">
        <v>3415198</v>
      </c>
      <c r="Q55" s="77">
        <v>0</v>
      </c>
      <c r="R55" s="77">
        <v>0</v>
      </c>
      <c r="S55" s="77">
        <v>117808.00000000001</v>
      </c>
      <c r="T55" s="79">
        <f t="shared" si="3"/>
        <v>3757954</v>
      </c>
      <c r="U55" s="80">
        <v>4678468.38</v>
      </c>
      <c r="V55" s="81">
        <f t="shared" si="0"/>
        <v>-920514.3799999999</v>
      </c>
      <c r="W55" s="75">
        <f t="shared" si="1"/>
        <v>-0.19675549885836782</v>
      </c>
      <c r="X55" s="54"/>
      <c r="Y55" s="53"/>
    </row>
    <row r="56" spans="1:25" ht="12" customHeight="1">
      <c r="A56" s="68">
        <v>531103</v>
      </c>
      <c r="B56" s="69">
        <v>531103</v>
      </c>
      <c r="C56" s="70" t="s">
        <v>62</v>
      </c>
      <c r="D56" s="77">
        <v>0</v>
      </c>
      <c r="E56" s="77">
        <v>0</v>
      </c>
      <c r="F56" s="77">
        <v>0</v>
      </c>
      <c r="G56" s="77">
        <v>0</v>
      </c>
      <c r="H56" s="77">
        <v>0</v>
      </c>
      <c r="I56" s="77">
        <v>0</v>
      </c>
      <c r="J56" s="77">
        <v>0</v>
      </c>
      <c r="K56" s="77">
        <v>0</v>
      </c>
      <c r="L56" s="77">
        <v>0</v>
      </c>
      <c r="M56" s="77">
        <v>0</v>
      </c>
      <c r="N56" s="77">
        <v>0</v>
      </c>
      <c r="O56" s="77">
        <v>0</v>
      </c>
      <c r="P56" s="77">
        <v>1125022</v>
      </c>
      <c r="Q56" s="77">
        <v>0</v>
      </c>
      <c r="R56" s="77">
        <v>0</v>
      </c>
      <c r="S56" s="77">
        <v>0</v>
      </c>
      <c r="T56" s="79">
        <f t="shared" si="3"/>
        <v>1125022</v>
      </c>
      <c r="U56" s="80">
        <v>812200.34</v>
      </c>
      <c r="V56" s="81">
        <f t="shared" si="0"/>
        <v>312821.66000000003</v>
      </c>
      <c r="W56" s="75">
        <f t="shared" si="1"/>
        <v>0.3851533231320736</v>
      </c>
      <c r="X56" s="54"/>
      <c r="Y56" s="53"/>
    </row>
    <row r="57" spans="1:25" ht="12" customHeight="1">
      <c r="A57" s="68">
        <v>531105</v>
      </c>
      <c r="B57" s="69">
        <v>531105</v>
      </c>
      <c r="C57" s="70" t="s">
        <v>31</v>
      </c>
      <c r="D57" s="77">
        <v>420</v>
      </c>
      <c r="E57" s="77">
        <v>58</v>
      </c>
      <c r="F57" s="77">
        <v>1257</v>
      </c>
      <c r="G57" s="77">
        <v>483</v>
      </c>
      <c r="H57" s="77">
        <v>0</v>
      </c>
      <c r="I57" s="77">
        <v>472</v>
      </c>
      <c r="J57" s="77">
        <v>90</v>
      </c>
      <c r="K57" s="77">
        <v>332</v>
      </c>
      <c r="L57" s="77">
        <v>0</v>
      </c>
      <c r="M57" s="77">
        <v>233</v>
      </c>
      <c r="N57" s="77">
        <v>7696.3</v>
      </c>
      <c r="O57" s="77">
        <v>0</v>
      </c>
      <c r="P57" s="77">
        <v>400</v>
      </c>
      <c r="Q57" s="77">
        <v>215</v>
      </c>
      <c r="R57" s="77">
        <v>407</v>
      </c>
      <c r="S57" s="77">
        <v>106</v>
      </c>
      <c r="T57" s="79">
        <f t="shared" si="3"/>
        <v>12169.3</v>
      </c>
      <c r="U57" s="80">
        <v>5453.51</v>
      </c>
      <c r="V57" s="81">
        <f t="shared" si="0"/>
        <v>6715.789999999999</v>
      </c>
      <c r="W57" s="75">
        <f t="shared" si="1"/>
        <v>1.2314619391914563</v>
      </c>
      <c r="X57" s="54"/>
      <c r="Y57" s="53"/>
    </row>
    <row r="58" spans="1:25" ht="12" customHeight="1">
      <c r="A58" s="68">
        <v>531106</v>
      </c>
      <c r="B58" s="69">
        <v>531106</v>
      </c>
      <c r="C58" s="70" t="s">
        <v>96</v>
      </c>
      <c r="D58" s="77">
        <v>0</v>
      </c>
      <c r="E58" s="77">
        <v>0</v>
      </c>
      <c r="F58" s="77">
        <v>0</v>
      </c>
      <c r="G58" s="77">
        <v>0</v>
      </c>
      <c r="H58" s="77">
        <v>0</v>
      </c>
      <c r="I58" s="77">
        <v>0</v>
      </c>
      <c r="J58" s="77">
        <v>0</v>
      </c>
      <c r="K58" s="77">
        <v>0</v>
      </c>
      <c r="L58" s="77">
        <v>0</v>
      </c>
      <c r="M58" s="77">
        <v>0</v>
      </c>
      <c r="N58" s="77">
        <v>0</v>
      </c>
      <c r="O58" s="77">
        <v>1888500</v>
      </c>
      <c r="P58" s="77">
        <v>0</v>
      </c>
      <c r="Q58" s="77">
        <v>0</v>
      </c>
      <c r="R58" s="77">
        <v>0</v>
      </c>
      <c r="S58" s="77">
        <v>0</v>
      </c>
      <c r="T58" s="79">
        <f t="shared" si="3"/>
        <v>1888500</v>
      </c>
      <c r="U58" s="80">
        <v>719500</v>
      </c>
      <c r="V58" s="81">
        <f t="shared" si="0"/>
        <v>1169000</v>
      </c>
      <c r="W58" s="75">
        <f t="shared" si="1"/>
        <v>1.624739402362752</v>
      </c>
      <c r="X58" s="54"/>
      <c r="Y58" s="53"/>
    </row>
    <row r="59" spans="1:25" ht="12" customHeight="1">
      <c r="A59" s="68">
        <v>531107</v>
      </c>
      <c r="B59" s="69">
        <v>531107</v>
      </c>
      <c r="C59" s="70" t="s">
        <v>53</v>
      </c>
      <c r="D59" s="77">
        <v>0</v>
      </c>
      <c r="E59" s="77">
        <v>0</v>
      </c>
      <c r="F59" s="77">
        <v>0</v>
      </c>
      <c r="G59" s="77">
        <v>0</v>
      </c>
      <c r="H59" s="77">
        <v>0</v>
      </c>
      <c r="I59" s="77">
        <v>0</v>
      </c>
      <c r="J59" s="77">
        <v>0</v>
      </c>
      <c r="K59" s="77">
        <v>0</v>
      </c>
      <c r="L59" s="77">
        <v>0</v>
      </c>
      <c r="M59" s="77">
        <v>0</v>
      </c>
      <c r="N59" s="77">
        <v>0</v>
      </c>
      <c r="O59" s="77">
        <v>0</v>
      </c>
      <c r="P59" s="77">
        <v>1223000</v>
      </c>
      <c r="Q59" s="77">
        <v>0</v>
      </c>
      <c r="R59" s="77">
        <v>0</v>
      </c>
      <c r="S59" s="77">
        <v>0</v>
      </c>
      <c r="T59" s="79">
        <f t="shared" si="3"/>
        <v>1223000</v>
      </c>
      <c r="U59" s="80">
        <v>1811677.69</v>
      </c>
      <c r="V59" s="81">
        <f t="shared" si="0"/>
        <v>-588677.69</v>
      </c>
      <c r="W59" s="75">
        <f t="shared" si="1"/>
        <v>-0.3249351102844347</v>
      </c>
      <c r="X59" s="54"/>
      <c r="Y59" s="53"/>
    </row>
    <row r="60" spans="1:25" ht="12" customHeight="1">
      <c r="A60" s="68">
        <v>531211</v>
      </c>
      <c r="B60" s="69">
        <v>531211</v>
      </c>
      <c r="C60" s="70" t="s">
        <v>54</v>
      </c>
      <c r="D60" s="77">
        <v>0</v>
      </c>
      <c r="E60" s="77">
        <v>0</v>
      </c>
      <c r="F60" s="77">
        <v>0</v>
      </c>
      <c r="G60" s="77">
        <v>0</v>
      </c>
      <c r="H60" s="77">
        <v>0</v>
      </c>
      <c r="I60" s="77">
        <v>0</v>
      </c>
      <c r="J60" s="77">
        <v>0</v>
      </c>
      <c r="K60" s="77">
        <v>0</v>
      </c>
      <c r="L60" s="77">
        <v>0</v>
      </c>
      <c r="M60" s="77">
        <v>0</v>
      </c>
      <c r="N60" s="77">
        <v>0</v>
      </c>
      <c r="O60" s="77">
        <v>0</v>
      </c>
      <c r="P60" s="77">
        <v>883696</v>
      </c>
      <c r="Q60" s="77">
        <v>0</v>
      </c>
      <c r="R60" s="77">
        <v>0</v>
      </c>
      <c r="S60" s="77">
        <v>0</v>
      </c>
      <c r="T60" s="79">
        <f t="shared" si="3"/>
        <v>883696</v>
      </c>
      <c r="U60" s="80">
        <v>883696</v>
      </c>
      <c r="V60" s="81">
        <f t="shared" si="0"/>
        <v>0</v>
      </c>
      <c r="W60" s="75">
        <f t="shared" si="1"/>
        <v>0</v>
      </c>
      <c r="X60" s="54"/>
      <c r="Y60" s="53"/>
    </row>
    <row r="61" spans="1:25" ht="12" customHeight="1">
      <c r="A61" s="68">
        <v>531221</v>
      </c>
      <c r="B61" s="69">
        <v>531221</v>
      </c>
      <c r="C61" s="70" t="s">
        <v>55</v>
      </c>
      <c r="D61" s="77">
        <v>0</v>
      </c>
      <c r="E61" s="77">
        <v>0</v>
      </c>
      <c r="F61" s="77">
        <v>0</v>
      </c>
      <c r="G61" s="77">
        <v>0</v>
      </c>
      <c r="H61" s="77">
        <v>0</v>
      </c>
      <c r="I61" s="77">
        <v>0</v>
      </c>
      <c r="J61" s="77">
        <v>0</v>
      </c>
      <c r="K61" s="77">
        <v>0</v>
      </c>
      <c r="L61" s="77">
        <v>0</v>
      </c>
      <c r="M61" s="77">
        <v>0</v>
      </c>
      <c r="N61" s="77">
        <v>0</v>
      </c>
      <c r="O61" s="77">
        <v>0</v>
      </c>
      <c r="P61" s="77">
        <v>29108</v>
      </c>
      <c r="Q61" s="77">
        <v>0</v>
      </c>
      <c r="R61" s="77">
        <v>0</v>
      </c>
      <c r="S61" s="77">
        <v>0</v>
      </c>
      <c r="T61" s="79">
        <f t="shared" si="3"/>
        <v>29108</v>
      </c>
      <c r="U61" s="80">
        <v>29108</v>
      </c>
      <c r="V61" s="81">
        <f t="shared" si="0"/>
        <v>0</v>
      </c>
      <c r="W61" s="75">
        <f t="shared" si="1"/>
        <v>0</v>
      </c>
      <c r="X61" s="54"/>
      <c r="Y61" s="53"/>
    </row>
    <row r="62" spans="1:25" ht="12" customHeight="1">
      <c r="A62" s="68">
        <v>531231</v>
      </c>
      <c r="B62" s="69">
        <v>531231</v>
      </c>
      <c r="C62" s="70" t="s">
        <v>56</v>
      </c>
      <c r="D62" s="77">
        <v>0</v>
      </c>
      <c r="E62" s="77">
        <v>0</v>
      </c>
      <c r="F62" s="77">
        <v>0</v>
      </c>
      <c r="G62" s="77">
        <v>0</v>
      </c>
      <c r="H62" s="77">
        <v>0</v>
      </c>
      <c r="I62" s="77">
        <v>0</v>
      </c>
      <c r="J62" s="77">
        <v>0</v>
      </c>
      <c r="K62" s="77">
        <v>0</v>
      </c>
      <c r="L62" s="77">
        <v>0</v>
      </c>
      <c r="M62" s="77">
        <v>0</v>
      </c>
      <c r="N62" s="77">
        <v>0</v>
      </c>
      <c r="O62" s="77">
        <v>0</v>
      </c>
      <c r="P62" s="77">
        <f>2288029</f>
        <v>2288029</v>
      </c>
      <c r="Q62" s="77">
        <v>0</v>
      </c>
      <c r="R62" s="77">
        <v>0</v>
      </c>
      <c r="S62" s="77">
        <v>0</v>
      </c>
      <c r="T62" s="79">
        <f t="shared" si="3"/>
        <v>2288029</v>
      </c>
      <c r="U62" s="80">
        <v>1763029</v>
      </c>
      <c r="V62" s="81">
        <f t="shared" si="0"/>
        <v>525000</v>
      </c>
      <c r="W62" s="75">
        <f t="shared" si="1"/>
        <v>0.2977829632978244</v>
      </c>
      <c r="X62" s="54"/>
      <c r="Y62" s="53"/>
    </row>
    <row r="63" spans="1:25" ht="12" customHeight="1">
      <c r="A63" s="68"/>
      <c r="B63" s="69">
        <v>531261</v>
      </c>
      <c r="C63" s="70" t="s">
        <v>97</v>
      </c>
      <c r="D63" s="77">
        <v>0</v>
      </c>
      <c r="E63" s="77">
        <v>0</v>
      </c>
      <c r="F63" s="77">
        <v>0</v>
      </c>
      <c r="G63" s="77">
        <v>0</v>
      </c>
      <c r="H63" s="77">
        <v>0</v>
      </c>
      <c r="I63" s="77">
        <v>0</v>
      </c>
      <c r="J63" s="77">
        <v>0</v>
      </c>
      <c r="K63" s="77">
        <v>0</v>
      </c>
      <c r="L63" s="77">
        <v>0</v>
      </c>
      <c r="M63" s="77">
        <v>0</v>
      </c>
      <c r="N63" s="77">
        <v>0</v>
      </c>
      <c r="O63" s="77">
        <v>0</v>
      </c>
      <c r="P63" s="77">
        <v>0</v>
      </c>
      <c r="Q63" s="77">
        <v>0</v>
      </c>
      <c r="R63" s="77">
        <v>983348</v>
      </c>
      <c r="S63" s="77">
        <v>0</v>
      </c>
      <c r="T63" s="79">
        <f>SUM(D63:S63)</f>
        <v>983348</v>
      </c>
      <c r="U63" s="77">
        <v>0</v>
      </c>
      <c r="V63" s="81">
        <f>T63-U63</f>
        <v>983348</v>
      </c>
      <c r="W63" s="75">
        <f t="shared" si="1"/>
        <v>1</v>
      </c>
      <c r="X63" s="54"/>
      <c r="Y63" s="53"/>
    </row>
    <row r="64" spans="1:25" ht="12" customHeight="1">
      <c r="A64" s="68">
        <v>531401</v>
      </c>
      <c r="B64" s="69">
        <v>531401</v>
      </c>
      <c r="C64" s="70" t="s">
        <v>32</v>
      </c>
      <c r="D64" s="77">
        <v>0</v>
      </c>
      <c r="E64" s="77">
        <v>0</v>
      </c>
      <c r="F64" s="77">
        <v>0</v>
      </c>
      <c r="G64" s="77">
        <v>0</v>
      </c>
      <c r="H64" s="78">
        <v>250</v>
      </c>
      <c r="I64" s="77">
        <v>0</v>
      </c>
      <c r="J64" s="77">
        <v>0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  <c r="R64" s="77">
        <v>0</v>
      </c>
      <c r="S64" s="77">
        <v>0</v>
      </c>
      <c r="T64" s="79">
        <f t="shared" si="3"/>
        <v>250</v>
      </c>
      <c r="U64" s="80">
        <v>0</v>
      </c>
      <c r="V64" s="81">
        <f t="shared" si="0"/>
        <v>250</v>
      </c>
      <c r="W64" s="75">
        <f t="shared" si="1"/>
        <v>1</v>
      </c>
      <c r="X64" s="54"/>
      <c r="Y64" s="53"/>
    </row>
    <row r="65" spans="1:25" ht="12" customHeight="1">
      <c r="A65" s="68">
        <v>531501</v>
      </c>
      <c r="B65" s="69">
        <v>531501</v>
      </c>
      <c r="C65" s="70" t="s">
        <v>63</v>
      </c>
      <c r="D65" s="77">
        <v>0</v>
      </c>
      <c r="E65" s="77">
        <v>0</v>
      </c>
      <c r="F65" s="77">
        <v>0</v>
      </c>
      <c r="G65" s="77">
        <v>0</v>
      </c>
      <c r="H65" s="77">
        <v>0</v>
      </c>
      <c r="I65" s="77">
        <v>0</v>
      </c>
      <c r="J65" s="77">
        <v>0</v>
      </c>
      <c r="K65" s="77">
        <v>0</v>
      </c>
      <c r="L65" s="77">
        <v>0</v>
      </c>
      <c r="M65" s="77">
        <v>0</v>
      </c>
      <c r="N65" s="77">
        <v>6200000</v>
      </c>
      <c r="O65" s="77">
        <v>0</v>
      </c>
      <c r="P65" s="77">
        <v>0</v>
      </c>
      <c r="Q65" s="77">
        <v>0</v>
      </c>
      <c r="R65" s="77">
        <v>0</v>
      </c>
      <c r="S65" s="77">
        <v>0</v>
      </c>
      <c r="T65" s="79">
        <f t="shared" si="3"/>
        <v>6200000</v>
      </c>
      <c r="U65" s="80">
        <v>5711416.74</v>
      </c>
      <c r="V65" s="81">
        <f t="shared" si="0"/>
        <v>488583.2599999998</v>
      </c>
      <c r="W65" s="75">
        <f t="shared" si="1"/>
        <v>0.08554502013102966</v>
      </c>
      <c r="X65" s="54"/>
      <c r="Y65" s="53"/>
    </row>
    <row r="66" spans="1:25" ht="12" customHeight="1">
      <c r="A66" s="68">
        <v>531601</v>
      </c>
      <c r="B66" s="69">
        <v>531601</v>
      </c>
      <c r="C66" s="70" t="s">
        <v>57</v>
      </c>
      <c r="D66" s="77">
        <v>0</v>
      </c>
      <c r="E66" s="77">
        <v>0</v>
      </c>
      <c r="F66" s="77">
        <v>0</v>
      </c>
      <c r="G66" s="77">
        <v>0</v>
      </c>
      <c r="H66" s="77">
        <v>0</v>
      </c>
      <c r="I66" s="77">
        <v>0</v>
      </c>
      <c r="J66" s="77">
        <v>0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181233.666666</v>
      </c>
      <c r="Q66" s="77">
        <v>0</v>
      </c>
      <c r="R66" s="77">
        <v>0</v>
      </c>
      <c r="S66" s="77">
        <v>75000</v>
      </c>
      <c r="T66" s="79">
        <f>SUM(D66:S66)</f>
        <v>256233.666666</v>
      </c>
      <c r="U66" s="80">
        <v>252968</v>
      </c>
      <c r="V66" s="81">
        <f t="shared" si="0"/>
        <v>3265.6666660000046</v>
      </c>
      <c r="W66" s="75">
        <f t="shared" si="1"/>
        <v>0.012909406193668782</v>
      </c>
      <c r="X66" s="54"/>
      <c r="Y66" s="53"/>
    </row>
    <row r="67" spans="1:25" ht="12" customHeight="1">
      <c r="A67" s="68">
        <v>531611</v>
      </c>
      <c r="B67" s="69">
        <v>531611</v>
      </c>
      <c r="C67" s="70" t="s">
        <v>98</v>
      </c>
      <c r="D67" s="77">
        <v>0</v>
      </c>
      <c r="E67" s="77">
        <v>0</v>
      </c>
      <c r="F67" s="77">
        <v>0</v>
      </c>
      <c r="G67" s="77">
        <v>0</v>
      </c>
      <c r="H67" s="77">
        <v>0</v>
      </c>
      <c r="I67" s="77">
        <v>0</v>
      </c>
      <c r="J67" s="77">
        <v>0</v>
      </c>
      <c r="K67" s="77">
        <v>0</v>
      </c>
      <c r="L67" s="77">
        <v>0</v>
      </c>
      <c r="M67" s="77">
        <v>0</v>
      </c>
      <c r="N67" s="77">
        <v>0</v>
      </c>
      <c r="O67" s="77">
        <v>0</v>
      </c>
      <c r="P67" s="77">
        <v>307000</v>
      </c>
      <c r="Q67" s="77">
        <v>0</v>
      </c>
      <c r="R67" s="77">
        <v>0</v>
      </c>
      <c r="S67" s="77">
        <v>0</v>
      </c>
      <c r="T67" s="79">
        <f t="shared" si="3"/>
        <v>307000</v>
      </c>
      <c r="U67" s="80">
        <v>850000</v>
      </c>
      <c r="V67" s="81">
        <f t="shared" si="0"/>
        <v>-543000</v>
      </c>
      <c r="W67" s="75">
        <f t="shared" si="1"/>
        <v>-0.6388235294117647</v>
      </c>
      <c r="X67" s="54"/>
      <c r="Y67" s="53"/>
    </row>
    <row r="68" spans="1:25" ht="12" customHeight="1">
      <c r="A68" s="68">
        <v>531621</v>
      </c>
      <c r="B68" s="69">
        <v>531621</v>
      </c>
      <c r="C68" s="70" t="s">
        <v>99</v>
      </c>
      <c r="D68" s="77">
        <v>0</v>
      </c>
      <c r="E68" s="77">
        <v>0</v>
      </c>
      <c r="F68" s="77">
        <v>0</v>
      </c>
      <c r="G68" s="77">
        <v>0</v>
      </c>
      <c r="H68" s="77">
        <v>0</v>
      </c>
      <c r="I68" s="77">
        <v>0</v>
      </c>
      <c r="J68" s="77">
        <v>0</v>
      </c>
      <c r="K68" s="77">
        <v>0</v>
      </c>
      <c r="L68" s="77">
        <v>0</v>
      </c>
      <c r="M68" s="77">
        <v>0</v>
      </c>
      <c r="N68" s="77">
        <v>0</v>
      </c>
      <c r="O68" s="77">
        <v>0</v>
      </c>
      <c r="P68" s="77">
        <v>3288000</v>
      </c>
      <c r="Q68" s="77">
        <v>0</v>
      </c>
      <c r="R68" s="77">
        <v>0</v>
      </c>
      <c r="S68" s="77">
        <v>0</v>
      </c>
      <c r="T68" s="79">
        <f t="shared" si="3"/>
        <v>3288000</v>
      </c>
      <c r="U68" s="80">
        <v>1469600</v>
      </c>
      <c r="V68" s="81">
        <f t="shared" si="0"/>
        <v>1818400</v>
      </c>
      <c r="W68" s="75">
        <f t="shared" si="1"/>
        <v>1.2373434948285247</v>
      </c>
      <c r="X68" s="54"/>
      <c r="Y68" s="53"/>
    </row>
    <row r="69" spans="1:25" ht="12" customHeight="1">
      <c r="A69" s="68">
        <v>531641</v>
      </c>
      <c r="B69" s="69">
        <v>531641</v>
      </c>
      <c r="C69" s="70" t="s">
        <v>100</v>
      </c>
      <c r="D69" s="77">
        <v>0</v>
      </c>
      <c r="E69" s="77">
        <v>0</v>
      </c>
      <c r="F69" s="77">
        <v>0</v>
      </c>
      <c r="G69" s="77">
        <v>0</v>
      </c>
      <c r="H69" s="77">
        <v>0</v>
      </c>
      <c r="I69" s="77">
        <v>0</v>
      </c>
      <c r="J69" s="77">
        <v>0</v>
      </c>
      <c r="K69" s="77">
        <v>0</v>
      </c>
      <c r="L69" s="77">
        <v>0</v>
      </c>
      <c r="M69" s="77">
        <v>0</v>
      </c>
      <c r="N69" s="77">
        <v>0</v>
      </c>
      <c r="O69" s="77">
        <v>21692500</v>
      </c>
      <c r="P69" s="77">
        <v>0</v>
      </c>
      <c r="Q69" s="77">
        <v>0</v>
      </c>
      <c r="R69" s="77">
        <v>0</v>
      </c>
      <c r="S69" s="77">
        <v>0</v>
      </c>
      <c r="T69" s="79">
        <f t="shared" si="3"/>
        <v>21692500</v>
      </c>
      <c r="U69" s="80">
        <v>10845000</v>
      </c>
      <c r="V69" s="81">
        <f t="shared" si="0"/>
        <v>10847500</v>
      </c>
      <c r="W69" s="75">
        <f t="shared" si="1"/>
        <v>1.000230520977409</v>
      </c>
      <c r="X69" s="54"/>
      <c r="Y69" s="53"/>
    </row>
    <row r="70" spans="1:25" ht="12" customHeight="1">
      <c r="A70" s="68">
        <v>531651</v>
      </c>
      <c r="B70" s="69">
        <v>531651</v>
      </c>
      <c r="C70" s="70" t="s">
        <v>64</v>
      </c>
      <c r="D70" s="77">
        <v>0</v>
      </c>
      <c r="E70" s="77">
        <v>0</v>
      </c>
      <c r="F70" s="77">
        <v>0</v>
      </c>
      <c r="G70" s="77">
        <v>0</v>
      </c>
      <c r="H70" s="77">
        <v>0</v>
      </c>
      <c r="I70" s="77">
        <v>0</v>
      </c>
      <c r="J70" s="77">
        <v>0</v>
      </c>
      <c r="K70" s="77">
        <v>0</v>
      </c>
      <c r="L70" s="77">
        <v>0</v>
      </c>
      <c r="M70" s="77">
        <v>0</v>
      </c>
      <c r="N70" s="77">
        <v>0</v>
      </c>
      <c r="O70" s="77">
        <v>26515972.99</v>
      </c>
      <c r="P70" s="77">
        <v>0</v>
      </c>
      <c r="Q70" s="77">
        <v>0</v>
      </c>
      <c r="R70" s="77">
        <v>0</v>
      </c>
      <c r="S70" s="77">
        <v>0</v>
      </c>
      <c r="T70" s="79">
        <f t="shared" si="3"/>
        <v>26515972.99</v>
      </c>
      <c r="U70" s="80">
        <v>36504188</v>
      </c>
      <c r="V70" s="81">
        <f t="shared" si="0"/>
        <v>-9988215.010000002</v>
      </c>
      <c r="W70" s="75">
        <f t="shared" si="1"/>
        <v>-0.27361833140898795</v>
      </c>
      <c r="X70" s="54"/>
      <c r="Y70" s="53"/>
    </row>
    <row r="71" spans="1:25" ht="12" customHeight="1">
      <c r="A71" s="68">
        <v>531701</v>
      </c>
      <c r="B71" s="69">
        <v>531701</v>
      </c>
      <c r="C71" s="70" t="s">
        <v>58</v>
      </c>
      <c r="D71" s="77">
        <v>0</v>
      </c>
      <c r="E71" s="77">
        <v>0</v>
      </c>
      <c r="F71" s="77">
        <v>0</v>
      </c>
      <c r="G71" s="77">
        <v>0</v>
      </c>
      <c r="H71" s="77">
        <v>0</v>
      </c>
      <c r="I71" s="77">
        <v>0</v>
      </c>
      <c r="J71" s="77">
        <v>0</v>
      </c>
      <c r="K71" s="77">
        <v>1685</v>
      </c>
      <c r="L71" s="77">
        <v>0</v>
      </c>
      <c r="M71" s="77">
        <v>0</v>
      </c>
      <c r="N71" s="77">
        <v>17590</v>
      </c>
      <c r="O71" s="77">
        <v>0</v>
      </c>
      <c r="P71" s="77">
        <v>188002</v>
      </c>
      <c r="Q71" s="77">
        <v>0</v>
      </c>
      <c r="R71" s="77">
        <v>0</v>
      </c>
      <c r="S71" s="77">
        <v>92079</v>
      </c>
      <c r="T71" s="79">
        <f t="shared" si="3"/>
        <v>299356</v>
      </c>
      <c r="U71" s="80">
        <v>291060.78</v>
      </c>
      <c r="V71" s="81">
        <f t="shared" si="0"/>
        <v>8295.219999999972</v>
      </c>
      <c r="W71" s="75">
        <f t="shared" si="1"/>
        <v>0.02849995798128477</v>
      </c>
      <c r="X71" s="54"/>
      <c r="Y71" s="53"/>
    </row>
    <row r="72" spans="1:25" ht="12" customHeight="1">
      <c r="A72" s="68">
        <v>541302</v>
      </c>
      <c r="B72" s="69">
        <v>541302</v>
      </c>
      <c r="C72" s="70" t="s">
        <v>101</v>
      </c>
      <c r="D72" s="77">
        <v>0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7">
        <v>0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8075000</v>
      </c>
      <c r="Q72" s="77">
        <v>0</v>
      </c>
      <c r="R72" s="77">
        <v>0</v>
      </c>
      <c r="S72" s="77">
        <v>0</v>
      </c>
      <c r="T72" s="79">
        <f aca="true" t="shared" si="4" ref="T72:T83">SUM(D72:S72)</f>
        <v>8075000</v>
      </c>
      <c r="U72" s="80">
        <v>5445000</v>
      </c>
      <c r="V72" s="81">
        <f t="shared" si="0"/>
        <v>2630000</v>
      </c>
      <c r="W72" s="75">
        <f t="shared" si="1"/>
        <v>0.4830119375573921</v>
      </c>
      <c r="X72" s="54"/>
      <c r="Y72" s="53"/>
    </row>
    <row r="73" spans="1:25" ht="12" customHeight="1">
      <c r="A73" s="68">
        <v>541401</v>
      </c>
      <c r="B73" s="69">
        <v>541401</v>
      </c>
      <c r="C73" s="70" t="s">
        <v>102</v>
      </c>
      <c r="D73" s="77">
        <v>0</v>
      </c>
      <c r="E73" s="77">
        <v>0</v>
      </c>
      <c r="F73" s="77">
        <v>0</v>
      </c>
      <c r="G73" s="77">
        <v>0</v>
      </c>
      <c r="H73" s="77">
        <v>0</v>
      </c>
      <c r="I73" s="77">
        <v>0</v>
      </c>
      <c r="J73" s="77">
        <v>0</v>
      </c>
      <c r="K73" s="77">
        <v>0</v>
      </c>
      <c r="L73" s="77">
        <v>0</v>
      </c>
      <c r="M73" s="77">
        <v>0</v>
      </c>
      <c r="N73" s="77">
        <v>0</v>
      </c>
      <c r="O73" s="77">
        <v>6000000</v>
      </c>
      <c r="P73" s="77">
        <v>0</v>
      </c>
      <c r="Q73" s="77">
        <v>0</v>
      </c>
      <c r="R73" s="77">
        <f>51015201+6558007</f>
        <v>57573208</v>
      </c>
      <c r="S73" s="77">
        <v>8707000</v>
      </c>
      <c r="T73" s="79">
        <f t="shared" si="4"/>
        <v>72280208</v>
      </c>
      <c r="U73" s="80">
        <v>139113550</v>
      </c>
      <c r="V73" s="81">
        <f t="shared" si="0"/>
        <v>-66833342</v>
      </c>
      <c r="W73" s="75">
        <f t="shared" si="1"/>
        <v>-0.48042294945388136</v>
      </c>
      <c r="X73" s="54"/>
      <c r="Y73" s="53"/>
    </row>
    <row r="74" spans="1:25" ht="12" customHeight="1">
      <c r="A74" s="68">
        <v>541403</v>
      </c>
      <c r="B74" s="69">
        <v>541403</v>
      </c>
      <c r="C74" s="70" t="s">
        <v>103</v>
      </c>
      <c r="D74" s="77">
        <v>0</v>
      </c>
      <c r="E74" s="77">
        <v>0</v>
      </c>
      <c r="F74" s="77">
        <v>0</v>
      </c>
      <c r="G74" s="77">
        <v>0</v>
      </c>
      <c r="H74" s="77">
        <v>0</v>
      </c>
      <c r="I74" s="77">
        <v>0</v>
      </c>
      <c r="J74" s="77">
        <v>0</v>
      </c>
      <c r="K74" s="77">
        <v>0</v>
      </c>
      <c r="L74" s="77">
        <v>0</v>
      </c>
      <c r="M74" s="77">
        <v>0</v>
      </c>
      <c r="N74" s="77">
        <v>0</v>
      </c>
      <c r="O74" s="77">
        <v>1400000</v>
      </c>
      <c r="P74" s="77">
        <v>0</v>
      </c>
      <c r="Q74" s="77">
        <v>0</v>
      </c>
      <c r="R74" s="77">
        <v>0</v>
      </c>
      <c r="S74" s="77">
        <v>0</v>
      </c>
      <c r="T74" s="79">
        <f>SUM(D74:S74)</f>
        <v>1400000</v>
      </c>
      <c r="U74" s="80">
        <v>3050000</v>
      </c>
      <c r="V74" s="81">
        <f t="shared" si="0"/>
        <v>-1650000</v>
      </c>
      <c r="W74" s="75">
        <f t="shared" si="1"/>
        <v>-0.5409836065573771</v>
      </c>
      <c r="X74" s="54"/>
      <c r="Y74" s="53"/>
    </row>
    <row r="75" spans="1:25" ht="12" customHeight="1">
      <c r="A75" s="68">
        <v>573001</v>
      </c>
      <c r="B75" s="69">
        <v>573001</v>
      </c>
      <c r="C75" s="70" t="s">
        <v>33</v>
      </c>
      <c r="D75" s="77">
        <v>0</v>
      </c>
      <c r="E75" s="77">
        <v>0</v>
      </c>
      <c r="F75" s="77">
        <v>0</v>
      </c>
      <c r="G75" s="77">
        <v>0</v>
      </c>
      <c r="H75" s="77">
        <v>0</v>
      </c>
      <c r="I75" s="77">
        <v>0</v>
      </c>
      <c r="J75" s="77">
        <v>0</v>
      </c>
      <c r="K75" s="77">
        <v>0</v>
      </c>
      <c r="L75" s="77">
        <v>0</v>
      </c>
      <c r="M75" s="77">
        <v>100000</v>
      </c>
      <c r="N75" s="77">
        <v>455225.69</v>
      </c>
      <c r="O75" s="77">
        <v>0</v>
      </c>
      <c r="P75" s="77">
        <v>0</v>
      </c>
      <c r="Q75" s="77">
        <v>0</v>
      </c>
      <c r="R75" s="77">
        <v>0</v>
      </c>
      <c r="S75" s="77">
        <v>0</v>
      </c>
      <c r="T75" s="79">
        <f t="shared" si="4"/>
        <v>555225.69</v>
      </c>
      <c r="U75" s="80">
        <v>513841.38</v>
      </c>
      <c r="V75" s="81">
        <f aca="true" t="shared" si="5" ref="V75:V83">T75-U75</f>
        <v>41384.30999999994</v>
      </c>
      <c r="W75" s="75">
        <f>IF(U75=0,100%,V75/U75)</f>
        <v>0.08053907608608699</v>
      </c>
      <c r="X75" s="54"/>
      <c r="Y75" s="53"/>
    </row>
    <row r="76" spans="1:25" ht="12" customHeight="1">
      <c r="A76" s="68">
        <v>573002</v>
      </c>
      <c r="B76" s="69">
        <v>573002</v>
      </c>
      <c r="C76" s="70" t="s">
        <v>65</v>
      </c>
      <c r="D76" s="77">
        <v>0</v>
      </c>
      <c r="E76" s="77">
        <v>0</v>
      </c>
      <c r="F76" s="77">
        <v>0</v>
      </c>
      <c r="G76" s="77">
        <v>0</v>
      </c>
      <c r="H76" s="77">
        <v>0</v>
      </c>
      <c r="I76" s="77">
        <v>0</v>
      </c>
      <c r="J76" s="77">
        <v>0</v>
      </c>
      <c r="K76" s="77">
        <v>0</v>
      </c>
      <c r="L76" s="77">
        <v>0</v>
      </c>
      <c r="M76" s="77">
        <v>0</v>
      </c>
      <c r="N76" s="77">
        <v>27441513</v>
      </c>
      <c r="O76" s="77">
        <v>0</v>
      </c>
      <c r="P76" s="77">
        <v>0</v>
      </c>
      <c r="Q76" s="77">
        <v>0</v>
      </c>
      <c r="R76" s="77">
        <v>0</v>
      </c>
      <c r="S76" s="77">
        <v>0</v>
      </c>
      <c r="T76" s="79">
        <f>SUM(D76:S76)</f>
        <v>27441513</v>
      </c>
      <c r="U76" s="80">
        <v>23526092.81</v>
      </c>
      <c r="V76" s="81">
        <f t="shared" si="5"/>
        <v>3915420.1900000013</v>
      </c>
      <c r="W76" s="75">
        <f>IF(U76=0,100%,V76/U76)</f>
        <v>0.16642883378984688</v>
      </c>
      <c r="X76" s="54"/>
      <c r="Y76" s="53"/>
    </row>
    <row r="77" spans="1:25" ht="12" customHeight="1">
      <c r="A77" s="68">
        <v>173003</v>
      </c>
      <c r="B77" s="69">
        <v>173003</v>
      </c>
      <c r="C77" s="70" t="s">
        <v>104</v>
      </c>
      <c r="D77" s="77">
        <v>0</v>
      </c>
      <c r="E77" s="77">
        <v>0</v>
      </c>
      <c r="F77" s="77">
        <v>0</v>
      </c>
      <c r="G77" s="77">
        <v>0</v>
      </c>
      <c r="H77" s="77">
        <v>0</v>
      </c>
      <c r="I77" s="77">
        <v>0</v>
      </c>
      <c r="J77" s="77">
        <v>0</v>
      </c>
      <c r="K77" s="77">
        <v>0</v>
      </c>
      <c r="L77" s="77">
        <v>0</v>
      </c>
      <c r="M77" s="77">
        <v>0</v>
      </c>
      <c r="N77" s="77">
        <v>0</v>
      </c>
      <c r="O77" s="77">
        <v>0</v>
      </c>
      <c r="P77" s="77">
        <v>0</v>
      </c>
      <c r="Q77" s="77">
        <v>0</v>
      </c>
      <c r="R77" s="77">
        <v>0</v>
      </c>
      <c r="S77" s="77">
        <v>0</v>
      </c>
      <c r="T77" s="80">
        <f t="shared" si="4"/>
        <v>0</v>
      </c>
      <c r="U77" s="80">
        <v>101215</v>
      </c>
      <c r="V77" s="81">
        <f t="shared" si="5"/>
        <v>-101215</v>
      </c>
      <c r="W77" s="75">
        <f>IF(U77=0,100%,V77/U77)</f>
        <v>-1</v>
      </c>
      <c r="X77" s="54"/>
      <c r="Y77" s="53"/>
    </row>
    <row r="78" spans="1:25" ht="12" customHeight="1" hidden="1">
      <c r="A78" s="68">
        <v>173005</v>
      </c>
      <c r="B78" s="69">
        <v>173005</v>
      </c>
      <c r="C78" s="70" t="s">
        <v>105</v>
      </c>
      <c r="D78" s="77">
        <v>0</v>
      </c>
      <c r="E78" s="77">
        <v>0</v>
      </c>
      <c r="F78" s="77">
        <v>0</v>
      </c>
      <c r="G78" s="77">
        <v>0</v>
      </c>
      <c r="H78" s="77">
        <v>0</v>
      </c>
      <c r="I78" s="77">
        <v>0</v>
      </c>
      <c r="J78" s="77">
        <v>0</v>
      </c>
      <c r="K78" s="77">
        <v>0</v>
      </c>
      <c r="L78" s="77">
        <v>0</v>
      </c>
      <c r="M78" s="77">
        <v>0</v>
      </c>
      <c r="N78" s="77">
        <v>0</v>
      </c>
      <c r="O78" s="77">
        <v>0</v>
      </c>
      <c r="P78" s="77">
        <v>0</v>
      </c>
      <c r="Q78" s="77">
        <v>0</v>
      </c>
      <c r="R78" s="77">
        <v>0</v>
      </c>
      <c r="S78" s="77">
        <v>0</v>
      </c>
      <c r="T78" s="80">
        <f t="shared" si="4"/>
        <v>0</v>
      </c>
      <c r="U78" s="80">
        <v>0</v>
      </c>
      <c r="V78" s="81">
        <f t="shared" si="5"/>
        <v>0</v>
      </c>
      <c r="W78" s="75">
        <v>0</v>
      </c>
      <c r="X78" s="54"/>
      <c r="Y78" s="53"/>
    </row>
    <row r="79" spans="1:25" ht="12" customHeight="1" hidden="1">
      <c r="A79" s="68">
        <v>173005</v>
      </c>
      <c r="B79" s="69">
        <v>173005</v>
      </c>
      <c r="C79" s="70" t="s">
        <v>106</v>
      </c>
      <c r="D79" s="77">
        <v>0</v>
      </c>
      <c r="E79" s="77">
        <v>0</v>
      </c>
      <c r="F79" s="77">
        <v>0</v>
      </c>
      <c r="G79" s="77">
        <v>0</v>
      </c>
      <c r="H79" s="77">
        <v>0</v>
      </c>
      <c r="I79" s="77">
        <v>0</v>
      </c>
      <c r="J79" s="77">
        <v>0</v>
      </c>
      <c r="K79" s="77">
        <v>0</v>
      </c>
      <c r="L79" s="77">
        <v>0</v>
      </c>
      <c r="M79" s="77">
        <v>0</v>
      </c>
      <c r="N79" s="77">
        <v>0</v>
      </c>
      <c r="O79" s="77">
        <v>0</v>
      </c>
      <c r="P79" s="77">
        <v>0</v>
      </c>
      <c r="Q79" s="77">
        <v>0</v>
      </c>
      <c r="R79" s="77">
        <v>0</v>
      </c>
      <c r="S79" s="77">
        <v>0</v>
      </c>
      <c r="T79" s="80">
        <f t="shared" si="4"/>
        <v>0</v>
      </c>
      <c r="U79" s="80">
        <v>0</v>
      </c>
      <c r="V79" s="81">
        <f t="shared" si="5"/>
        <v>0</v>
      </c>
      <c r="W79" s="75">
        <v>0</v>
      </c>
      <c r="X79" s="54"/>
      <c r="Y79" s="53"/>
    </row>
    <row r="80" spans="1:25" ht="12" customHeight="1" hidden="1">
      <c r="A80" s="68">
        <v>173005</v>
      </c>
      <c r="B80" s="69">
        <v>173005</v>
      </c>
      <c r="C80" s="70" t="s">
        <v>107</v>
      </c>
      <c r="D80" s="77">
        <v>0</v>
      </c>
      <c r="E80" s="77">
        <v>0</v>
      </c>
      <c r="F80" s="77">
        <v>0</v>
      </c>
      <c r="G80" s="77">
        <v>0</v>
      </c>
      <c r="H80" s="77">
        <v>0</v>
      </c>
      <c r="I80" s="77">
        <v>0</v>
      </c>
      <c r="J80" s="77">
        <v>0</v>
      </c>
      <c r="K80" s="77">
        <v>0</v>
      </c>
      <c r="L80" s="77">
        <v>0</v>
      </c>
      <c r="M80" s="77">
        <v>0</v>
      </c>
      <c r="N80" s="77">
        <v>0</v>
      </c>
      <c r="O80" s="77">
        <v>0</v>
      </c>
      <c r="P80" s="77">
        <v>0</v>
      </c>
      <c r="Q80" s="77">
        <v>0</v>
      </c>
      <c r="R80" s="77">
        <v>0</v>
      </c>
      <c r="S80" s="77">
        <v>0</v>
      </c>
      <c r="T80" s="80">
        <f t="shared" si="4"/>
        <v>0</v>
      </c>
      <c r="U80" s="80">
        <v>0</v>
      </c>
      <c r="V80" s="81">
        <f t="shared" si="5"/>
        <v>0</v>
      </c>
      <c r="W80" s="75">
        <v>0</v>
      </c>
      <c r="X80" s="54"/>
      <c r="Y80" s="53"/>
    </row>
    <row r="81" spans="1:25" ht="12" customHeight="1" hidden="1">
      <c r="A81" s="68">
        <v>176001</v>
      </c>
      <c r="B81" s="69">
        <v>176001</v>
      </c>
      <c r="C81" s="70" t="s">
        <v>108</v>
      </c>
      <c r="D81" s="77">
        <v>0</v>
      </c>
      <c r="E81" s="77">
        <v>0</v>
      </c>
      <c r="F81" s="77">
        <v>0</v>
      </c>
      <c r="G81" s="77">
        <v>0</v>
      </c>
      <c r="H81" s="77">
        <v>0</v>
      </c>
      <c r="I81" s="77">
        <v>0</v>
      </c>
      <c r="J81" s="77">
        <v>0</v>
      </c>
      <c r="K81" s="77">
        <v>0</v>
      </c>
      <c r="L81" s="77">
        <v>0</v>
      </c>
      <c r="M81" s="77">
        <v>0</v>
      </c>
      <c r="N81" s="77">
        <v>0</v>
      </c>
      <c r="O81" s="77">
        <v>0</v>
      </c>
      <c r="P81" s="77">
        <v>0</v>
      </c>
      <c r="Q81" s="77">
        <v>0</v>
      </c>
      <c r="R81" s="77">
        <v>0</v>
      </c>
      <c r="S81" s="77">
        <v>0</v>
      </c>
      <c r="T81" s="80">
        <f t="shared" si="4"/>
        <v>0</v>
      </c>
      <c r="U81" s="80">
        <v>0</v>
      </c>
      <c r="V81" s="81">
        <f t="shared" si="5"/>
        <v>0</v>
      </c>
      <c r="W81" s="75">
        <v>0</v>
      </c>
      <c r="X81" s="54"/>
      <c r="Y81" s="53"/>
    </row>
    <row r="82" spans="1:25" ht="12" customHeight="1" hidden="1">
      <c r="A82" s="68">
        <v>176001</v>
      </c>
      <c r="B82" s="69">
        <v>176001</v>
      </c>
      <c r="C82" s="70" t="s">
        <v>109</v>
      </c>
      <c r="D82" s="80">
        <v>0</v>
      </c>
      <c r="E82" s="80">
        <v>0</v>
      </c>
      <c r="F82" s="80">
        <v>0</v>
      </c>
      <c r="G82" s="77">
        <v>0</v>
      </c>
      <c r="H82" s="80">
        <v>0</v>
      </c>
      <c r="I82" s="80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80">
        <v>0</v>
      </c>
      <c r="R82" s="77">
        <v>0</v>
      </c>
      <c r="S82" s="77">
        <v>0</v>
      </c>
      <c r="T82" s="80">
        <f t="shared" si="4"/>
        <v>0</v>
      </c>
      <c r="U82" s="80">
        <v>0</v>
      </c>
      <c r="V82" s="81">
        <f t="shared" si="5"/>
        <v>0</v>
      </c>
      <c r="W82" s="75">
        <v>0</v>
      </c>
      <c r="X82" s="54"/>
      <c r="Y82" s="53"/>
    </row>
    <row r="83" spans="1:25" ht="12" customHeight="1" hidden="1">
      <c r="A83" s="68">
        <v>176001</v>
      </c>
      <c r="B83" s="69">
        <v>176001</v>
      </c>
      <c r="C83" s="70" t="s">
        <v>110</v>
      </c>
      <c r="D83" s="80">
        <v>0</v>
      </c>
      <c r="E83" s="80">
        <v>0</v>
      </c>
      <c r="F83" s="80">
        <v>0</v>
      </c>
      <c r="G83" s="77">
        <v>0</v>
      </c>
      <c r="H83" s="80">
        <v>0</v>
      </c>
      <c r="I83" s="80">
        <v>0</v>
      </c>
      <c r="J83" s="77">
        <v>0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0</v>
      </c>
      <c r="Q83" s="80">
        <v>0</v>
      </c>
      <c r="R83" s="77">
        <v>0</v>
      </c>
      <c r="S83" s="77">
        <v>0</v>
      </c>
      <c r="T83" s="80">
        <f t="shared" si="4"/>
        <v>0</v>
      </c>
      <c r="U83" s="80">
        <v>0</v>
      </c>
      <c r="V83" s="81">
        <f t="shared" si="5"/>
        <v>0</v>
      </c>
      <c r="W83" s="75">
        <v>0</v>
      </c>
      <c r="X83" s="54"/>
      <c r="Y83" s="53"/>
    </row>
    <row r="84" spans="3:25" ht="4.5" customHeight="1" thickBot="1">
      <c r="C84" s="85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75"/>
      <c r="X84" s="54"/>
      <c r="Y84" s="53"/>
    </row>
    <row r="85" spans="3:25" ht="12" customHeight="1" thickBot="1">
      <c r="C85" s="87" t="s">
        <v>13</v>
      </c>
      <c r="D85" s="88">
        <f aca="true" t="shared" si="6" ref="D85:M85">SUM(D11:D83)</f>
        <v>1782637.266994</v>
      </c>
      <c r="E85" s="88">
        <f t="shared" si="6"/>
        <v>712166.588081</v>
      </c>
      <c r="F85" s="88">
        <f t="shared" si="6"/>
        <v>173703.455245</v>
      </c>
      <c r="G85" s="88">
        <f t="shared" si="6"/>
        <v>1758194.843643</v>
      </c>
      <c r="H85" s="88">
        <f t="shared" si="6"/>
        <v>1257809.670426</v>
      </c>
      <c r="I85" s="88">
        <f t="shared" si="6"/>
        <v>3113597.0349810002</v>
      </c>
      <c r="J85" s="88">
        <f t="shared" si="6"/>
        <v>1765054.780638</v>
      </c>
      <c r="K85" s="88">
        <f t="shared" si="6"/>
        <v>7622370.550659</v>
      </c>
      <c r="L85" s="89">
        <f t="shared" si="6"/>
        <v>4304970</v>
      </c>
      <c r="M85" s="88">
        <f t="shared" si="6"/>
        <v>3256428.85</v>
      </c>
      <c r="N85" s="88">
        <f>SUM(N11:N84)</f>
        <v>93444059.94359998</v>
      </c>
      <c r="O85" s="88">
        <f>SUM(O11:O83)</f>
        <v>108997554.237278</v>
      </c>
      <c r="P85" s="88">
        <f>SUM(P11:P83)</f>
        <v>61869765.737596</v>
      </c>
      <c r="Q85" s="88">
        <f>SUM(Q11:Q83)</f>
        <v>1400114.238335</v>
      </c>
      <c r="R85" s="88">
        <f>SUM(R11:R83)</f>
        <v>122466281.38241601</v>
      </c>
      <c r="S85" s="88">
        <f>SUM(S11:S83)</f>
        <v>33148138.291144997</v>
      </c>
      <c r="T85" s="90">
        <f>SUM(T11:T83)</f>
        <v>447072846.87103695</v>
      </c>
      <c r="U85" s="90">
        <f>SUM(U11:U83)</f>
        <v>451769502.35999995</v>
      </c>
      <c r="V85" s="91">
        <f>SUM(V11:V83)</f>
        <v>-4696655.488963021</v>
      </c>
      <c r="W85" s="92">
        <f>IF(U85=0,100%,V85/U85)</f>
        <v>-0.010396132240950639</v>
      </c>
      <c r="X85" s="54"/>
      <c r="Y85" s="53"/>
    </row>
    <row r="86" spans="3:25" ht="4.5" customHeight="1" thickTop="1">
      <c r="C86" s="93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54"/>
      <c r="Y86" s="53"/>
    </row>
    <row r="87" spans="3:25" ht="4.5" customHeight="1">
      <c r="C87" s="93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54"/>
      <c r="Y87" s="53"/>
    </row>
    <row r="88" spans="3:25" ht="27" customHeight="1" hidden="1" outlineLevel="1">
      <c r="C88" s="93"/>
      <c r="D88" s="95"/>
      <c r="E88" s="95"/>
      <c r="F88" s="95"/>
      <c r="G88" s="84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 t="s">
        <v>111</v>
      </c>
      <c r="S88" s="95"/>
      <c r="T88" s="95"/>
      <c r="U88" s="96">
        <v>451769502.063179</v>
      </c>
      <c r="V88" s="95"/>
      <c r="W88" s="94"/>
      <c r="X88" s="54"/>
      <c r="Y88" s="53"/>
    </row>
    <row r="89" spans="3:25" ht="27.75" customHeight="1" hidden="1" outlineLevel="1">
      <c r="C89" s="93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8">
        <f>U85-U88</f>
        <v>0.2968209385871887</v>
      </c>
      <c r="V89" s="99"/>
      <c r="W89" s="99"/>
      <c r="X89" s="54"/>
      <c r="Y89" s="53"/>
    </row>
    <row r="90" ht="12.75" hidden="1" outlineLevel="1">
      <c r="U90" s="57"/>
    </row>
    <row r="91" spans="10:21" ht="12.75" hidden="1" outlineLevel="1">
      <c r="J91" s="100"/>
      <c r="M91" s="100"/>
      <c r="O91" s="100"/>
      <c r="P91" s="100"/>
      <c r="T91" s="100"/>
      <c r="U91" s="57"/>
    </row>
    <row r="92" ht="12.75" hidden="1" outlineLevel="1">
      <c r="U92" s="57"/>
    </row>
    <row r="93" spans="13:21" ht="12.75" hidden="1" outlineLevel="1">
      <c r="M93" s="100"/>
      <c r="P93" s="100"/>
      <c r="U93" s="101"/>
    </row>
    <row r="94" ht="12.75" collapsed="1"/>
    <row r="95" ht="12.75">
      <c r="U95" s="57"/>
    </row>
  </sheetData>
  <sheetProtection/>
  <conditionalFormatting sqref="E88:W89">
    <cfRule type="cellIs" priority="2" dxfId="0" operator="greaterThan" stopIfTrue="1">
      <formula>0</formula>
    </cfRule>
  </conditionalFormatting>
  <conditionalFormatting sqref="D88:D89">
    <cfRule type="cellIs" priority="1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Carter, Leigh</dc:creator>
  <cp:keywords/>
  <dc:description/>
  <cp:lastModifiedBy>Raj Kafle, Baikuntha</cp:lastModifiedBy>
  <dcterms:created xsi:type="dcterms:W3CDTF">2014-08-19T16:12:53Z</dcterms:created>
  <dcterms:modified xsi:type="dcterms:W3CDTF">2021-12-16T15:48:31Z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S23RUA2WJYU2-286-1822</vt:lpwstr>
  </property>
  <property fmtid="{D5CDD505-2E9C-101B-9397-08002B2CF9AE}" pid="4" name="_dlc_DocIdItemGu">
    <vt:lpwstr>b61d7305-fdd1-4b45-9f80-21badc1d77dc</vt:lpwstr>
  </property>
  <property fmtid="{D5CDD505-2E9C-101B-9397-08002B2CF9AE}" pid="5" name="_dlc_DocIdU">
    <vt:lpwstr>http://wvprodshptweb01:8080/whatwedo/fin_invest_info/financial_Info/_layouts/DocIdRedir.aspx?ID=S23RUA2WJYU2-286-1822, S23RUA2WJYU2-286-1822</vt:lpwstr>
  </property>
  <property fmtid="{D5CDD505-2E9C-101B-9397-08002B2CF9AE}" pid="6" name="OpportunityTy">
    <vt:lpwstr>Consulting Services</vt:lpwstr>
  </property>
</Properties>
</file>