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OMF by Acct" sheetId="1" r:id="rId1"/>
    <sheet name="All Funds" sheetId="2" r:id="rId2"/>
  </sheets>
  <definedNames>
    <definedName name="NvsASD">"V2019-03-23"</definedName>
    <definedName name="NvsAutoDrillOk">"VN"</definedName>
    <definedName name="NvsElapsedTime">0.0000115740695036948</definedName>
    <definedName name="NvsEndTime">43547.5222800926</definedName>
    <definedName name="NvsInstLang">"VENG"</definedName>
    <definedName name="NvsInstSpec">"%,FDEPTID,TNTTA_DEPTID_ROLLUP,NALL_DEPTID"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"V00001"</definedName>
    <definedName name="NvsPanelEffdt">"V1901-01-01"</definedName>
    <definedName name="NvsPanelSetid">"V00001"</definedName>
    <definedName name="NvsReqBU">"V00001"</definedName>
    <definedName name="NvsReqBUOnly">"VY"</definedName>
    <definedName name="NvsTransLed">"VN"</definedName>
    <definedName name="NvsTreeASD">"V2019-03-23"</definedName>
    <definedName name="NvsValTbl.ACCOUNT">"GL_ACCOUNT_TBL"</definedName>
    <definedName name="NvsValTbl.DEPTID">"DEPARTMENT_TBL"</definedName>
    <definedName name="NvsValTbl.FUND_CODE">"FUND_TBL"</definedName>
  </definedNames>
  <calcPr fullCalcOnLoad="1"/>
</workbook>
</file>

<file path=xl/sharedStrings.xml><?xml version="1.0" encoding="utf-8"?>
<sst xmlns="http://schemas.openxmlformats.org/spreadsheetml/2006/main" count="182" uniqueCount="107">
  <si>
    <t>Salaries &amp; Benefits</t>
  </si>
  <si>
    <t>Administration</t>
  </si>
  <si>
    <t>Board</t>
  </si>
  <si>
    <t>Human Resources</t>
  </si>
  <si>
    <t>Internal Audit</t>
  </si>
  <si>
    <t>Legal Services</t>
  </si>
  <si>
    <t>Public Affairs</t>
  </si>
  <si>
    <t>Shared Services</t>
  </si>
  <si>
    <t>Information Technology</t>
  </si>
  <si>
    <t>Maintenance</t>
  </si>
  <si>
    <t>Operations</t>
  </si>
  <si>
    <t>Project Delivery</t>
  </si>
  <si>
    <t>Account</t>
  </si>
  <si>
    <t>Totals</t>
  </si>
  <si>
    <t>Procurement and Business Diversity</t>
  </si>
  <si>
    <t>Accounting</t>
  </si>
  <si>
    <t>Contact Center and Collections</t>
  </si>
  <si>
    <t>Consulting &amp; Professional Services</t>
  </si>
  <si>
    <t>Business &amp; Marketing</t>
  </si>
  <si>
    <t>Administrative</t>
  </si>
  <si>
    <t>Treasury Management</t>
  </si>
  <si>
    <t>Increase or (Decrease) Amount</t>
  </si>
  <si>
    <t>Increase or (Decrease) Percent</t>
  </si>
  <si>
    <t>521101-Meeting Expense</t>
  </si>
  <si>
    <t>523101-Insurance Expense - Other</t>
  </si>
  <si>
    <t>523301-Recruitment</t>
  </si>
  <si>
    <t>523305-Employee Appreciation</t>
  </si>
  <si>
    <t>523501-Travel</t>
  </si>
  <si>
    <t>523601-Dues &amp; Subscriptions</t>
  </si>
  <si>
    <t>523902-Liability Claims</t>
  </si>
  <si>
    <t>531101-Office Supplies</t>
  </si>
  <si>
    <t>531105-Freight and Express</t>
  </si>
  <si>
    <t>531401-Books &amp; Periodicals</t>
  </si>
  <si>
    <t>573001-Bank Charges</t>
  </si>
  <si>
    <t>523203-Public Information Fees</t>
  </si>
  <si>
    <t>523302-Magazine and Newspaper</t>
  </si>
  <si>
    <t>523303-Television &amp; Radio</t>
  </si>
  <si>
    <t>523304-Promotional Expenses</t>
  </si>
  <si>
    <t>523401-Printing and Photographic</t>
  </si>
  <si>
    <t>523402-Maps &amp; Pamphlets</t>
  </si>
  <si>
    <t>521201-Consulting/Professional</t>
  </si>
  <si>
    <t>521202-Legal Fees</t>
  </si>
  <si>
    <t>521203-Auditing Fees</t>
  </si>
  <si>
    <t>521204-Trustee Fees</t>
  </si>
  <si>
    <t>521207-Traffic Engineering Fees</t>
  </si>
  <si>
    <t>521208-Police Services (DPS)</t>
  </si>
  <si>
    <t>521209-Armored Car Services</t>
  </si>
  <si>
    <t>521212-Outside Maintenance Services</t>
  </si>
  <si>
    <t>523851-Temporary Contract Labor</t>
  </si>
  <si>
    <t>522202-Landscaping</t>
  </si>
  <si>
    <t>522301-Rentals - Land</t>
  </si>
  <si>
    <t>522302-Rentals - Equipment</t>
  </si>
  <si>
    <t>523801-Licenses</t>
  </si>
  <si>
    <t>531102-Other Materials and Supplies</t>
  </si>
  <si>
    <t>531107-Motor Fuel Expense</t>
  </si>
  <si>
    <t>531211-Water</t>
  </si>
  <si>
    <t>531221-Gas</t>
  </si>
  <si>
    <t>531231-Electricity</t>
  </si>
  <si>
    <t>531601-Small Tools and Shop Supplies</t>
  </si>
  <si>
    <t>531701-Uniforms</t>
  </si>
  <si>
    <t>523201-Postage</t>
  </si>
  <si>
    <t>523202-Telecommunications</t>
  </si>
  <si>
    <t>523701-Education and Training</t>
  </si>
  <si>
    <t>531103-Mobile Equipment Expense</t>
  </si>
  <si>
    <t>531501-Inven for resale(toll tags)</t>
  </si>
  <si>
    <t>531651-Software</t>
  </si>
  <si>
    <t>573002-Credit Card Fees</t>
  </si>
  <si>
    <t>511101-Salaries and Wages-Direct</t>
  </si>
  <si>
    <t>511202-Salaries and Wages-Internship</t>
  </si>
  <si>
    <t>511301-Salaries and Wage-Overtime</t>
  </si>
  <si>
    <t>512101-Group Insurance</t>
  </si>
  <si>
    <t>512401-Retirement Contributions</t>
  </si>
  <si>
    <t>512402-Retirement Contr.-Internship</t>
  </si>
  <si>
    <t>512501-Tuition Reimbursement</t>
  </si>
  <si>
    <t>512601-Unemployment Insurance</t>
  </si>
  <si>
    <t>512602-OPEB Annual Req'd Contribution</t>
  </si>
  <si>
    <t>512701-Worker's Comp Ins</t>
  </si>
  <si>
    <t>FY2020
Budget</t>
  </si>
  <si>
    <t>Traffic &amp; Incident Mgmt</t>
  </si>
  <si>
    <t>FY2021 Budget</t>
  </si>
  <si>
    <t>FY2021
Budget</t>
  </si>
  <si>
    <t>Increase or
(Decrease)
Amount</t>
  </si>
  <si>
    <t>Increase or
(Decrease)
Percent</t>
  </si>
  <si>
    <t>8.02% of total salaries</t>
  </si>
  <si>
    <t>3.5% for SSRP</t>
  </si>
  <si>
    <t>521205-Rating Agency Fees</t>
  </si>
  <si>
    <t>521206-Remarketing/Loc Provider Fees</t>
  </si>
  <si>
    <t>521213-General Engineering</t>
  </si>
  <si>
    <t>521301-Consulting/Profess Serv Tech</t>
  </si>
  <si>
    <t>522203-Signing Expense</t>
  </si>
  <si>
    <t>522204-Pavement Markings</t>
  </si>
  <si>
    <t>522205-Pavement &amp; Shoulders</t>
  </si>
  <si>
    <t>522206-Bridge Repairs</t>
  </si>
  <si>
    <t>531106-Electronic Supplies</t>
  </si>
  <si>
    <t>531611-Machinery</t>
  </si>
  <si>
    <t>531621-Vehicles</t>
  </si>
  <si>
    <t>531641-Computers</t>
  </si>
  <si>
    <t>541302-Building Improvements</t>
  </si>
  <si>
    <t>541401-Infrastructure Rdway/Hwy/Bridg</t>
  </si>
  <si>
    <t>541403-Infrastructure-Other</t>
  </si>
  <si>
    <t>173003-Right of Way (06)</t>
  </si>
  <si>
    <t>173005-Administration (01)</t>
  </si>
  <si>
    <t>173005-Planning (02)</t>
  </si>
  <si>
    <t>173005-Design (03)</t>
  </si>
  <si>
    <t>176001-Construction</t>
  </si>
  <si>
    <t>176001-Equipment/Hardware (05)</t>
  </si>
  <si>
    <t>176001-Utility Relo (07)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</si>
</sst>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&quot;-&quot;#,##0"/>
    <numFmt numFmtId="165" formatCode="&quot;Account&quot;"/>
    <numFmt numFmtId="166" formatCode="&quot;$&quot;#,##0;&quot;($&quot;#,##0&quot;)&quot;"/>
    <numFmt numFmtId="167" formatCode="#,##0;&quot;(&quot;#,##0&quot;)&quot;"/>
    <numFmt numFmtId="168" formatCode="0.0%_);[Red]\ \ \(0.0%\)"/>
    <numFmt numFmtId="169" formatCode="_(* #,##0_);[Red]_(* \(#,##0\);_(* &quot;-&quot;_);_(@_)"/>
    <numFmt numFmtId="170" formatCode="_(* #,##0_);_(* \(#,##0\);_(* &quot;-&quot;??_);_(@_)"/>
    <numFmt numFmtId="171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icrosoft Sans Serif"/>
      <family val="2"/>
    </font>
    <font>
      <sz val="10"/>
      <color indexed="8"/>
      <name val="Calibri"/>
      <family val="2"/>
    </font>
    <font>
      <b/>
      <sz val="9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color indexed="10"/>
      <name val="Microsoft Sans Serif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theme="1"/>
      <name val="Calibri"/>
      <family val="2"/>
    </font>
    <font>
      <b/>
      <sz val="9"/>
      <color rgb="FF000000"/>
      <name val="Microsoft Sans Serif"/>
      <family val="2"/>
    </font>
    <font>
      <b/>
      <sz val="8"/>
      <color rgb="FFFF0000"/>
      <name val="Microsoft Sans Serif"/>
      <family val="2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67" fontId="51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Alignment="1">
      <alignment horizontal="right"/>
    </xf>
    <xf numFmtId="164" fontId="52" fillId="33" borderId="0" xfId="0" applyNumberFormat="1" applyFont="1" applyFill="1" applyAlignment="1">
      <alignment horizontal="right" vertical="center"/>
    </xf>
    <xf numFmtId="167" fontId="51" fillId="33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165" fontId="22" fillId="0" borderId="0" xfId="0" applyNumberFormat="1" applyFont="1" applyFill="1" applyBorder="1" applyAlignment="1" quotePrefix="1">
      <alignment horizontal="left"/>
    </xf>
    <xf numFmtId="164" fontId="22" fillId="0" borderId="0" xfId="0" applyNumberFormat="1" applyFont="1" applyFill="1" applyBorder="1" applyAlignment="1" quotePrefix="1">
      <alignment horizontal="center" wrapText="1"/>
    </xf>
    <xf numFmtId="164" fontId="22" fillId="0" borderId="0" xfId="0" applyNumberFormat="1" applyFont="1" applyFill="1" applyBorder="1" applyAlignment="1" quotePrefix="1">
      <alignment horizontal="right" wrapText="1"/>
    </xf>
    <xf numFmtId="164" fontId="22" fillId="0" borderId="0" xfId="0" applyNumberFormat="1" applyFont="1" applyFill="1" applyBorder="1" applyAlignment="1" quotePrefix="1">
      <alignment horizontal="right" vertical="top" wrapText="1"/>
    </xf>
    <xf numFmtId="0" fontId="23" fillId="0" borderId="0" xfId="0" applyFont="1" applyFill="1" applyBorder="1" applyAlignment="1">
      <alignment/>
    </xf>
    <xf numFmtId="0" fontId="49" fillId="2" borderId="0" xfId="0" applyFont="1" applyFill="1" applyAlignment="1">
      <alignment/>
    </xf>
    <xf numFmtId="0" fontId="0" fillId="2" borderId="0" xfId="0" applyFill="1" applyAlignment="1">
      <alignment/>
    </xf>
    <xf numFmtId="0" fontId="54" fillId="33" borderId="0" xfId="0" applyFont="1" applyFill="1" applyAlignment="1">
      <alignment vertical="top" wrapText="1"/>
    </xf>
    <xf numFmtId="0" fontId="0" fillId="0" borderId="0" xfId="0" applyFill="1" applyAlignment="1">
      <alignment/>
    </xf>
    <xf numFmtId="6" fontId="51" fillId="33" borderId="0" xfId="0" applyNumberFormat="1" applyFont="1" applyFill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164" fontId="24" fillId="33" borderId="10" xfId="0" applyNumberFormat="1" applyFont="1" applyFill="1" applyBorder="1" applyAlignment="1">
      <alignment horizontal="left"/>
    </xf>
    <xf numFmtId="167" fontId="24" fillId="33" borderId="10" xfId="0" applyNumberFormat="1" applyFont="1" applyFill="1" applyBorder="1" applyAlignment="1">
      <alignment horizontal="right"/>
    </xf>
    <xf numFmtId="164" fontId="24" fillId="33" borderId="0" xfId="0" applyNumberFormat="1" applyFont="1" applyFill="1" applyAlignment="1" quotePrefix="1">
      <alignment horizontal="left"/>
    </xf>
    <xf numFmtId="166" fontId="24" fillId="33" borderId="0" xfId="0" applyNumberFormat="1" applyFont="1" applyFill="1" applyAlignment="1">
      <alignment horizontal="right"/>
    </xf>
    <xf numFmtId="167" fontId="24" fillId="33" borderId="0" xfId="0" applyNumberFormat="1" applyFont="1" applyFill="1" applyAlignment="1">
      <alignment horizontal="right"/>
    </xf>
    <xf numFmtId="38" fontId="24" fillId="33" borderId="0" xfId="0" applyNumberFormat="1" applyFont="1" applyFill="1" applyAlignment="1">
      <alignment horizontal="right"/>
    </xf>
    <xf numFmtId="164" fontId="22" fillId="2" borderId="0" xfId="0" applyNumberFormat="1" applyFont="1" applyFill="1" applyAlignment="1" quotePrefix="1">
      <alignment horizontal="left"/>
    </xf>
    <xf numFmtId="167" fontId="22" fillId="2" borderId="0" xfId="0" applyNumberFormat="1" applyFont="1" applyFill="1" applyAlignment="1">
      <alignment horizontal="right"/>
    </xf>
    <xf numFmtId="164" fontId="22" fillId="33" borderId="0" xfId="0" applyNumberFormat="1" applyFont="1" applyFill="1" applyAlignment="1">
      <alignment horizontal="left" vertical="center"/>
    </xf>
    <xf numFmtId="164" fontId="22" fillId="33" borderId="0" xfId="0" applyNumberFormat="1" applyFont="1" applyFill="1" applyAlignment="1">
      <alignment horizontal="right" vertical="center"/>
    </xf>
    <xf numFmtId="166" fontId="22" fillId="33" borderId="11" xfId="0" applyNumberFormat="1" applyFont="1" applyFill="1" applyBorder="1" applyAlignment="1" quotePrefix="1">
      <alignment horizontal="left" vertical="center"/>
    </xf>
    <xf numFmtId="166" fontId="22" fillId="33" borderId="11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164" fontId="24" fillId="0" borderId="0" xfId="0" applyNumberFormat="1" applyFont="1" applyFill="1" applyAlignment="1" quotePrefix="1">
      <alignment horizontal="left"/>
    </xf>
    <xf numFmtId="166" fontId="0" fillId="34" borderId="0" xfId="0" applyNumberFormat="1" applyFill="1" applyAlignment="1">
      <alignment/>
    </xf>
    <xf numFmtId="168" fontId="51" fillId="33" borderId="0" xfId="57" applyNumberFormat="1" applyFont="1" applyFill="1" applyAlignment="1">
      <alignment horizontal="right"/>
    </xf>
    <xf numFmtId="168" fontId="55" fillId="2" borderId="0" xfId="57" applyNumberFormat="1" applyFont="1" applyFill="1" applyAlignment="1">
      <alignment horizontal="right"/>
    </xf>
    <xf numFmtId="168" fontId="52" fillId="33" borderId="0" xfId="57" applyNumberFormat="1" applyFont="1" applyFill="1" applyAlignment="1">
      <alignment horizontal="right" vertical="center"/>
    </xf>
    <xf numFmtId="168" fontId="22" fillId="33" borderId="11" xfId="57" applyNumberFormat="1" applyFont="1" applyFill="1" applyBorder="1" applyAlignment="1">
      <alignment horizontal="right" vertical="center"/>
    </xf>
    <xf numFmtId="169" fontId="51" fillId="33" borderId="0" xfId="0" applyNumberFormat="1" applyFont="1" applyFill="1" applyAlignment="1">
      <alignment horizontal="right"/>
    </xf>
    <xf numFmtId="169" fontId="22" fillId="2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wrapText="1"/>
    </xf>
    <xf numFmtId="164" fontId="22" fillId="35" borderId="0" xfId="0" applyNumberFormat="1" applyFont="1" applyFill="1" applyBorder="1" applyAlignment="1" quotePrefix="1">
      <alignment horizontal="right" wrapText="1"/>
    </xf>
    <xf numFmtId="164" fontId="22" fillId="35" borderId="0" xfId="0" applyNumberFormat="1" applyFont="1" applyFill="1" applyBorder="1" applyAlignment="1" quotePrefix="1">
      <alignment horizontal="center" wrapText="1"/>
    </xf>
    <xf numFmtId="166" fontId="55" fillId="33" borderId="11" xfId="0" applyNumberFormat="1" applyFont="1" applyFill="1" applyBorder="1" applyAlignment="1">
      <alignment horizontal="right" vertical="center"/>
    </xf>
    <xf numFmtId="166" fontId="0" fillId="0" borderId="0" xfId="0" applyNumberFormat="1" applyFill="1" applyAlignment="1">
      <alignment/>
    </xf>
    <xf numFmtId="0" fontId="56" fillId="34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33" borderId="0" xfId="0" applyFont="1" applyFill="1" applyAlignment="1">
      <alignment vertical="top" wrapText="1"/>
    </xf>
    <xf numFmtId="0" fontId="56" fillId="33" borderId="0" xfId="0" applyFont="1" applyFill="1" applyAlignment="1">
      <alignment wrapText="1"/>
    </xf>
    <xf numFmtId="170" fontId="56" fillId="34" borderId="0" xfId="42" applyNumberFormat="1" applyFont="1" applyFill="1" applyAlignment="1">
      <alignment/>
    </xf>
    <xf numFmtId="0" fontId="56" fillId="33" borderId="0" xfId="0" applyFont="1" applyFill="1" applyAlignment="1">
      <alignment/>
    </xf>
    <xf numFmtId="170" fontId="56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0" fontId="56" fillId="33" borderId="0" xfId="42" applyNumberFormat="1" applyFont="1" applyFill="1" applyAlignment="1">
      <alignment/>
    </xf>
    <xf numFmtId="0" fontId="30" fillId="0" borderId="0" xfId="0" applyFont="1" applyFill="1" applyBorder="1" applyAlignment="1">
      <alignment wrapText="1"/>
    </xf>
    <xf numFmtId="164" fontId="57" fillId="33" borderId="12" xfId="0" applyNumberFormat="1" applyFont="1" applyFill="1" applyBorder="1" applyAlignment="1">
      <alignment horizontal="left"/>
    </xf>
    <xf numFmtId="164" fontId="31" fillId="35" borderId="12" xfId="0" applyNumberFormat="1" applyFont="1" applyFill="1" applyBorder="1" applyAlignment="1" quotePrefix="1">
      <alignment horizontal="center" wrapText="1"/>
    </xf>
    <xf numFmtId="0" fontId="56" fillId="34" borderId="0" xfId="0" applyNumberFormat="1" applyFont="1" applyFill="1" applyAlignment="1">
      <alignment/>
    </xf>
    <xf numFmtId="164" fontId="58" fillId="33" borderId="0" xfId="0" applyNumberFormat="1" applyFont="1" applyFill="1" applyAlignment="1" quotePrefix="1">
      <alignment horizontal="left"/>
    </xf>
    <xf numFmtId="166" fontId="58" fillId="35" borderId="0" xfId="0" applyNumberFormat="1" applyFont="1" applyFill="1" applyAlignment="1">
      <alignment horizontal="right"/>
    </xf>
    <xf numFmtId="166" fontId="59" fillId="35" borderId="0" xfId="0" applyNumberFormat="1" applyFont="1" applyFill="1" applyAlignment="1">
      <alignment horizontal="right"/>
    </xf>
    <xf numFmtId="168" fontId="58" fillId="35" borderId="0" xfId="0" applyNumberFormat="1" applyFont="1" applyFill="1" applyAlignment="1">
      <alignment horizontal="right"/>
    </xf>
    <xf numFmtId="166" fontId="56" fillId="36" borderId="0" xfId="0" applyNumberFormat="1" applyFont="1" applyFill="1" applyAlignment="1">
      <alignment/>
    </xf>
    <xf numFmtId="167" fontId="58" fillId="35" borderId="0" xfId="0" applyNumberFormat="1" applyFont="1" applyFill="1" applyAlignment="1">
      <alignment horizontal="right"/>
    </xf>
    <xf numFmtId="38" fontId="56" fillId="35" borderId="0" xfId="42" applyNumberFormat="1" applyFont="1" applyFill="1" applyAlignment="1">
      <alignment horizontal="right"/>
    </xf>
    <xf numFmtId="171" fontId="56" fillId="37" borderId="0" xfId="0" applyNumberFormat="1" applyFont="1" applyFill="1" applyAlignment="1">
      <alignment/>
    </xf>
    <xf numFmtId="10" fontId="56" fillId="34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4" fontId="57" fillId="33" borderId="0" xfId="0" applyNumberFormat="1" applyFont="1" applyFill="1" applyAlignment="1">
      <alignment horizontal="left" vertical="center"/>
    </xf>
    <xf numFmtId="164" fontId="57" fillId="35" borderId="0" xfId="0" applyNumberFormat="1" applyFont="1" applyFill="1" applyAlignment="1">
      <alignment horizontal="right" vertical="center"/>
    </xf>
    <xf numFmtId="166" fontId="57" fillId="33" borderId="11" xfId="0" applyNumberFormat="1" applyFont="1" applyFill="1" applyBorder="1" applyAlignment="1" quotePrefix="1">
      <alignment horizontal="left" vertical="center"/>
    </xf>
    <xf numFmtId="166" fontId="57" fillId="35" borderId="11" xfId="0" applyNumberFormat="1" applyFont="1" applyFill="1" applyBorder="1" applyAlignment="1">
      <alignment horizontal="right" vertical="center"/>
    </xf>
    <xf numFmtId="166" fontId="60" fillId="35" borderId="11" xfId="0" applyNumberFormat="1" applyFont="1" applyFill="1" applyBorder="1" applyAlignment="1">
      <alignment horizontal="right" vertical="center"/>
    </xf>
    <xf numFmtId="168" fontId="60" fillId="35" borderId="11" xfId="57" applyNumberFormat="1" applyFont="1" applyFill="1" applyBorder="1" applyAlignment="1">
      <alignment horizontal="right" vertical="center"/>
    </xf>
    <xf numFmtId="0" fontId="58" fillId="33" borderId="0" xfId="0" applyFont="1" applyFill="1" applyAlignment="1">
      <alignment wrapText="1"/>
    </xf>
    <xf numFmtId="0" fontId="56" fillId="35" borderId="0" xfId="0" applyFont="1" applyFill="1" applyAlignment="1">
      <alignment/>
    </xf>
    <xf numFmtId="166" fontId="56" fillId="35" borderId="0" xfId="0" applyNumberFormat="1" applyFont="1" applyFill="1" applyAlignment="1">
      <alignment/>
    </xf>
    <xf numFmtId="166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2905125" cy="504825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29051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FY2021</a:t>
          </a:r>
        </a:p>
      </xdr:txBody>
    </xdr:sp>
    <xdr:clientData/>
  </xdr:one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18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1628775</xdr:colOff>
      <xdr:row>1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0</xdr:row>
      <xdr:rowOff>0</xdr:rowOff>
    </xdr:from>
    <xdr:to>
      <xdr:col>1</xdr:col>
      <xdr:colOff>2247900</xdr:colOff>
      <xdr:row>1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5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5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666750</xdr:colOff>
      <xdr:row>2</xdr:row>
      <xdr:rowOff>9525</xdr:rowOff>
    </xdr:from>
    <xdr:ext cx="1857375" cy="485775"/>
    <xdr:sp>
      <xdr:nvSpPr>
        <xdr:cNvPr id="6" name="Text Box 2"/>
        <xdr:cNvSpPr txBox="1">
          <a:spLocks noChangeArrowheads="1"/>
        </xdr:cNvSpPr>
      </xdr:nvSpPr>
      <xdr:spPr>
        <a:xfrm>
          <a:off x="666750" y="333375"/>
          <a:ext cx="1857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FY2021</a:t>
          </a:r>
        </a:p>
      </xdr:txBody>
    </xdr:sp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5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8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76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76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79"/>
  <sheetViews>
    <sheetView showGridLines="0" zoomScale="120" zoomScaleNormal="120" zoomScalePageLayoutView="0" workbookViewId="0" topLeftCell="A1">
      <pane xSplit="2" ySplit="11" topLeftCell="C4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7" sqref="B17"/>
    </sheetView>
  </sheetViews>
  <sheetFormatPr defaultColWidth="9.140625" defaultRowHeight="15" outlineLevelRow="1"/>
  <cols>
    <col min="1" max="1" width="3.140625" style="5" customWidth="1"/>
    <col min="2" max="2" width="31.140625" style="5" bestFit="1" customWidth="1"/>
    <col min="3" max="4" width="12.28125" style="5" customWidth="1"/>
    <col min="5" max="5" width="8.57421875" style="5" customWidth="1"/>
    <col min="6" max="7" width="10.140625" style="5" customWidth="1"/>
    <col min="8" max="8" width="12.140625" style="5" customWidth="1"/>
    <col min="9" max="9" width="11.7109375" style="5" customWidth="1"/>
    <col min="10" max="10" width="12.421875" style="5" customWidth="1"/>
    <col min="11" max="11" width="12.28125" style="5" customWidth="1"/>
    <col min="12" max="12" width="12.421875" style="5" customWidth="1"/>
    <col min="13" max="15" width="11.140625" style="5" customWidth="1"/>
    <col min="16" max="16" width="12.7109375" style="5" customWidth="1" collapsed="1"/>
    <col min="17" max="17" width="12.421875" style="5" customWidth="1"/>
    <col min="18" max="18" width="12.28125" style="5" customWidth="1"/>
    <col min="19" max="19" width="12.00390625" style="5" customWidth="1"/>
    <col min="20" max="20" width="12.8515625" style="5" bestFit="1" customWidth="1"/>
    <col min="21" max="21" width="12.140625" style="5" bestFit="1" customWidth="1"/>
    <col min="22" max="22" width="11.57421875" style="5" customWidth="1"/>
    <col min="23" max="16384" width="9.140625" style="5" customWidth="1"/>
  </cols>
  <sheetData>
    <row r="2" spans="2:22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  <c r="V2" s="15"/>
    </row>
    <row r="3" spans="2:22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</row>
    <row r="4" spans="2:22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5"/>
    </row>
    <row r="5" spans="2:22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</row>
    <row r="6" spans="2:22" ht="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5"/>
      <c r="V6" s="15"/>
    </row>
    <row r="7" spans="2:22" ht="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5"/>
      <c r="V7" s="15"/>
    </row>
    <row r="8" spans="2:20" ht="12.75" customHeight="1" hidden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2:20" ht="15" hidden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2:22" s="11" customFormat="1" ht="33.75" customHeight="1">
      <c r="B10" s="7" t="s">
        <v>12</v>
      </c>
      <c r="C10" s="8" t="s">
        <v>15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14</v>
      </c>
      <c r="J10" s="8" t="s">
        <v>6</v>
      </c>
      <c r="K10" s="8" t="s">
        <v>7</v>
      </c>
      <c r="L10" s="8" t="s">
        <v>20</v>
      </c>
      <c r="M10" s="8" t="s">
        <v>16</v>
      </c>
      <c r="N10" s="8" t="s">
        <v>8</v>
      </c>
      <c r="O10" s="8" t="s">
        <v>9</v>
      </c>
      <c r="P10" s="8" t="s">
        <v>10</v>
      </c>
      <c r="Q10" s="8" t="s">
        <v>11</v>
      </c>
      <c r="R10" s="8" t="s">
        <v>78</v>
      </c>
      <c r="S10" s="43" t="s">
        <v>79</v>
      </c>
      <c r="T10" s="42" t="s">
        <v>77</v>
      </c>
      <c r="U10" s="9" t="s">
        <v>21</v>
      </c>
      <c r="V10" s="10" t="s">
        <v>22</v>
      </c>
    </row>
    <row r="11" spans="2:22" ht="3" customHeight="1" thickBot="1">
      <c r="B11" s="19"/>
      <c r="C11" s="20"/>
      <c r="D11" s="20"/>
      <c r="E11" s="20"/>
      <c r="F11" s="20"/>
      <c r="G11" s="20"/>
      <c r="H11" s="20"/>
      <c r="I11" s="20"/>
      <c r="J11" s="20"/>
      <c r="K11" s="1"/>
      <c r="L11" s="1"/>
      <c r="M11" s="20"/>
      <c r="N11" s="20"/>
      <c r="O11" s="20"/>
      <c r="P11" s="20"/>
      <c r="Q11" s="20"/>
      <c r="R11" s="1"/>
      <c r="S11" s="1"/>
      <c r="T11" s="1"/>
      <c r="U11" s="1"/>
      <c r="V11" s="1"/>
    </row>
    <row r="12" spans="2:22" ht="12" customHeight="1" outlineLevel="1">
      <c r="B12" s="21" t="s">
        <v>67</v>
      </c>
      <c r="C12" s="22">
        <v>1457088</v>
      </c>
      <c r="D12" s="22">
        <v>387450</v>
      </c>
      <c r="E12" s="22">
        <v>85913</v>
      </c>
      <c r="F12" s="22">
        <v>1004101</v>
      </c>
      <c r="G12" s="22">
        <v>646190.54</v>
      </c>
      <c r="H12" s="22">
        <v>798396</v>
      </c>
      <c r="I12" s="22">
        <v>1364652</v>
      </c>
      <c r="J12" s="22">
        <v>1326483</v>
      </c>
      <c r="K12" s="2">
        <v>0</v>
      </c>
      <c r="L12" s="2">
        <v>961542</v>
      </c>
      <c r="M12" s="22">
        <v>10053183.03</v>
      </c>
      <c r="N12" s="22">
        <v>7911568.04</v>
      </c>
      <c r="O12" s="22">
        <v>8565375</v>
      </c>
      <c r="P12" s="22">
        <v>1028189</v>
      </c>
      <c r="Q12" s="22">
        <v>2108337</v>
      </c>
      <c r="R12" s="22">
        <v>5412598.14</v>
      </c>
      <c r="S12" s="2">
        <f aca="true" t="shared" si="0" ref="S12:S21">SUM(C12:R12)</f>
        <v>43111065.75</v>
      </c>
      <c r="T12" s="2">
        <v>44484611.5</v>
      </c>
      <c r="U12" s="16">
        <f>S12-T12</f>
        <v>-1373545.75</v>
      </c>
      <c r="V12" s="35">
        <f aca="true" t="shared" si="1" ref="V12:V21">IF(T12=0,100%,U12/T12)</f>
        <v>-0.030876874129832515</v>
      </c>
    </row>
    <row r="13" spans="2:22" ht="12" customHeight="1" outlineLevel="1">
      <c r="B13" s="21" t="s">
        <v>68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4">
        <v>0</v>
      </c>
      <c r="L13" s="4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4">
        <f t="shared" si="0"/>
        <v>0</v>
      </c>
      <c r="T13" s="4">
        <v>205199</v>
      </c>
      <c r="U13" s="39">
        <f>S13-T13</f>
        <v>-205199</v>
      </c>
      <c r="V13" s="35">
        <f t="shared" si="1"/>
        <v>-1</v>
      </c>
    </row>
    <row r="14" spans="2:22" ht="12" customHeight="1" outlineLevel="1">
      <c r="B14" s="21" t="s">
        <v>69</v>
      </c>
      <c r="C14" s="23">
        <v>0</v>
      </c>
      <c r="D14" s="23">
        <v>0</v>
      </c>
      <c r="E14" s="23">
        <v>0</v>
      </c>
      <c r="F14" s="23">
        <v>144</v>
      </c>
      <c r="G14" s="23">
        <v>0</v>
      </c>
      <c r="H14" s="23">
        <v>0</v>
      </c>
      <c r="I14" s="23">
        <v>0</v>
      </c>
      <c r="J14" s="23">
        <v>721</v>
      </c>
      <c r="K14" s="4">
        <v>0</v>
      </c>
      <c r="L14" s="4">
        <v>0</v>
      </c>
      <c r="M14" s="23">
        <v>254076.97</v>
      </c>
      <c r="N14" s="23">
        <v>88215.21</v>
      </c>
      <c r="O14" s="23">
        <v>309305.84</v>
      </c>
      <c r="P14" s="23">
        <v>0</v>
      </c>
      <c r="Q14" s="23">
        <v>0</v>
      </c>
      <c r="R14" s="23">
        <v>22623.63</v>
      </c>
      <c r="S14" s="4">
        <f t="shared" si="0"/>
        <v>675086.65</v>
      </c>
      <c r="T14" s="4">
        <v>846275.5</v>
      </c>
      <c r="U14" s="39">
        <f aca="true" t="shared" si="2" ref="U14:U21">S14-T14</f>
        <v>-171188.84999999998</v>
      </c>
      <c r="V14" s="35">
        <f t="shared" si="1"/>
        <v>-0.20228501238662822</v>
      </c>
    </row>
    <row r="15" spans="2:22" ht="12" customHeight="1" outlineLevel="1">
      <c r="B15" s="21" t="s">
        <v>70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4">
        <v>9209145</v>
      </c>
      <c r="L15" s="4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4">
        <f t="shared" si="0"/>
        <v>9209145</v>
      </c>
      <c r="T15" s="4">
        <v>9296084</v>
      </c>
      <c r="U15" s="39">
        <f t="shared" si="2"/>
        <v>-86939</v>
      </c>
      <c r="V15" s="35">
        <f>IF(T15=0,100%,U15/T15)</f>
        <v>-0.009352217557414498</v>
      </c>
    </row>
    <row r="16" spans="2:22" ht="12" customHeight="1" outlineLevel="1">
      <c r="B16" s="21" t="s">
        <v>71</v>
      </c>
      <c r="C16" s="23">
        <v>188110</v>
      </c>
      <c r="D16" s="23">
        <v>44155</v>
      </c>
      <c r="E16" s="23">
        <v>11084</v>
      </c>
      <c r="F16" s="23">
        <v>137126</v>
      </c>
      <c r="G16" s="23">
        <v>89607.16</v>
      </c>
      <c r="H16" s="23">
        <v>103073</v>
      </c>
      <c r="I16" s="23">
        <v>176176</v>
      </c>
      <c r="J16" s="23">
        <v>171249</v>
      </c>
      <c r="K16" s="4">
        <v>0</v>
      </c>
      <c r="L16" s="4">
        <v>124135</v>
      </c>
      <c r="M16" s="23">
        <v>1297867.71</v>
      </c>
      <c r="N16" s="23">
        <v>1021383.43</v>
      </c>
      <c r="O16" s="23">
        <v>1105789.56</v>
      </c>
      <c r="P16" s="23">
        <v>130527</v>
      </c>
      <c r="Q16" s="23">
        <v>264741</v>
      </c>
      <c r="R16" s="23">
        <v>696132.07</v>
      </c>
      <c r="S16" s="4">
        <f t="shared" si="0"/>
        <v>5561155.930000001</v>
      </c>
      <c r="T16" s="4">
        <v>5749498</v>
      </c>
      <c r="U16" s="39">
        <f t="shared" si="2"/>
        <v>-188342.06999999937</v>
      </c>
      <c r="V16" s="35">
        <f t="shared" si="1"/>
        <v>-0.03275800252474205</v>
      </c>
    </row>
    <row r="17" spans="2:22" ht="12" customHeight="1" outlineLevel="1">
      <c r="B17" s="21" t="s">
        <v>72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3">
        <v>0</v>
      </c>
      <c r="K17" s="4">
        <v>0</v>
      </c>
      <c r="L17" s="4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4">
        <f t="shared" si="0"/>
        <v>0</v>
      </c>
      <c r="T17" s="4">
        <v>26613.68</v>
      </c>
      <c r="U17" s="39">
        <f t="shared" si="2"/>
        <v>-26613.68</v>
      </c>
      <c r="V17" s="35">
        <f t="shared" si="1"/>
        <v>-1</v>
      </c>
    </row>
    <row r="18" spans="2:22" ht="12" customHeight="1" outlineLevel="1">
      <c r="B18" s="21" t="s">
        <v>73</v>
      </c>
      <c r="C18" s="23">
        <v>0</v>
      </c>
      <c r="D18" s="23">
        <v>0</v>
      </c>
      <c r="E18" s="23">
        <v>0</v>
      </c>
      <c r="F18" s="23">
        <v>11770</v>
      </c>
      <c r="G18" s="23">
        <v>0</v>
      </c>
      <c r="H18" s="23">
        <v>0</v>
      </c>
      <c r="I18" s="23">
        <v>0</v>
      </c>
      <c r="J18" s="23">
        <v>0</v>
      </c>
      <c r="K18" s="4">
        <v>0</v>
      </c>
      <c r="L18" s="4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4">
        <f t="shared" si="0"/>
        <v>11770</v>
      </c>
      <c r="T18" s="4">
        <v>31575</v>
      </c>
      <c r="U18" s="39">
        <f t="shared" si="2"/>
        <v>-19805</v>
      </c>
      <c r="V18" s="35">
        <f t="shared" si="1"/>
        <v>-0.627236737925574</v>
      </c>
    </row>
    <row r="19" spans="2:22" ht="12" customHeight="1" outlineLevel="1">
      <c r="B19" s="21" t="s">
        <v>74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4">
        <v>123661</v>
      </c>
      <c r="L19" s="4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4">
        <f t="shared" si="0"/>
        <v>123661</v>
      </c>
      <c r="T19" s="4">
        <v>127386</v>
      </c>
      <c r="U19" s="39">
        <f t="shared" si="2"/>
        <v>-3725</v>
      </c>
      <c r="V19" s="35">
        <f t="shared" si="1"/>
        <v>-0.02924183191245506</v>
      </c>
    </row>
    <row r="20" spans="2:22" ht="12" customHeight="1" outlineLevel="1">
      <c r="B20" s="21" t="s">
        <v>75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4">
        <v>0</v>
      </c>
      <c r="L20" s="4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4">
        <f t="shared" si="0"/>
        <v>0</v>
      </c>
      <c r="T20" s="4">
        <v>3100000</v>
      </c>
      <c r="U20" s="39">
        <f t="shared" si="2"/>
        <v>-3100000</v>
      </c>
      <c r="V20" s="35">
        <f t="shared" si="1"/>
        <v>-1</v>
      </c>
    </row>
    <row r="21" spans="2:22" ht="12" customHeight="1" outlineLevel="1">
      <c r="B21" s="21" t="s">
        <v>76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4">
        <f>180740+56545</f>
        <v>237285</v>
      </c>
      <c r="L21" s="4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4">
        <f t="shared" si="0"/>
        <v>237285</v>
      </c>
      <c r="T21" s="4">
        <v>277761</v>
      </c>
      <c r="U21" s="39">
        <f t="shared" si="2"/>
        <v>-40476</v>
      </c>
      <c r="V21" s="35">
        <f t="shared" si="1"/>
        <v>-0.14572240163305863</v>
      </c>
    </row>
    <row r="22" spans="2:22" s="12" customFormat="1" ht="12" customHeight="1" outlineLevel="1">
      <c r="B22" s="25" t="s">
        <v>0</v>
      </c>
      <c r="C22" s="26">
        <f aca="true" t="shared" si="3" ref="C22:R22">SUM(C12:C21)</f>
        <v>1645198</v>
      </c>
      <c r="D22" s="26">
        <f t="shared" si="3"/>
        <v>431605</v>
      </c>
      <c r="E22" s="26">
        <f t="shared" si="3"/>
        <v>96997</v>
      </c>
      <c r="F22" s="26">
        <f aca="true" t="shared" si="4" ref="F22:L22">SUM(F12:F21)</f>
        <v>1153141</v>
      </c>
      <c r="G22" s="26">
        <f t="shared" si="4"/>
        <v>735797.7000000001</v>
      </c>
      <c r="H22" s="26">
        <f t="shared" si="4"/>
        <v>901469</v>
      </c>
      <c r="I22" s="26">
        <f t="shared" si="4"/>
        <v>1540828</v>
      </c>
      <c r="J22" s="26">
        <f t="shared" si="4"/>
        <v>1498453</v>
      </c>
      <c r="K22" s="26">
        <f t="shared" si="4"/>
        <v>9570091</v>
      </c>
      <c r="L22" s="26">
        <f t="shared" si="4"/>
        <v>1085677</v>
      </c>
      <c r="M22" s="26">
        <f t="shared" si="3"/>
        <v>11605127.71</v>
      </c>
      <c r="N22" s="26">
        <f>SUM(N12:N21)</f>
        <v>9021166.68</v>
      </c>
      <c r="O22" s="26">
        <f t="shared" si="3"/>
        <v>9980470.4</v>
      </c>
      <c r="P22" s="26">
        <f t="shared" si="3"/>
        <v>1158716</v>
      </c>
      <c r="Q22" s="26">
        <f t="shared" si="3"/>
        <v>2373078</v>
      </c>
      <c r="R22" s="26">
        <f t="shared" si="3"/>
        <v>6131353.84</v>
      </c>
      <c r="S22" s="26">
        <f>SUM(S12:S21)</f>
        <v>58929169.33</v>
      </c>
      <c r="T22" s="26">
        <v>64145003.68</v>
      </c>
      <c r="U22" s="40">
        <f>SUM(U12:U21)</f>
        <v>-5215834.35</v>
      </c>
      <c r="V22" s="36">
        <f>IF(T22=0,100%,U22/T22)</f>
        <v>-0.08131318186557784</v>
      </c>
    </row>
    <row r="23" spans="2:22" ht="12" customHeight="1" outlineLevel="1">
      <c r="B23" s="21" t="s">
        <v>40</v>
      </c>
      <c r="C23" s="23">
        <v>710</v>
      </c>
      <c r="D23" s="23">
        <v>60000</v>
      </c>
      <c r="E23" s="23">
        <v>0</v>
      </c>
      <c r="F23" s="23">
        <v>107972</v>
      </c>
      <c r="G23" s="23">
        <v>49999.85</v>
      </c>
      <c r="H23" s="23">
        <v>0</v>
      </c>
      <c r="I23" s="23">
        <v>0</v>
      </c>
      <c r="J23" s="23">
        <v>1497950</v>
      </c>
      <c r="K23" s="4">
        <v>0</v>
      </c>
      <c r="L23" s="4">
        <v>320992</v>
      </c>
      <c r="M23" s="23">
        <v>7856249.63</v>
      </c>
      <c r="N23" s="23">
        <v>0</v>
      </c>
      <c r="O23" s="23">
        <v>150000</v>
      </c>
      <c r="P23" s="23">
        <v>0</v>
      </c>
      <c r="Q23" s="23">
        <v>11500</v>
      </c>
      <c r="R23" s="23">
        <v>46435.27</v>
      </c>
      <c r="S23" s="4">
        <f aca="true" t="shared" si="5" ref="S23:S31">SUM(C23:R23)</f>
        <v>10101808.75</v>
      </c>
      <c r="T23" s="4">
        <v>11164992</v>
      </c>
      <c r="U23" s="39">
        <f aca="true" t="shared" si="6" ref="U23:U31">S23-T23</f>
        <v>-1063183.25</v>
      </c>
      <c r="V23" s="35">
        <f aca="true" t="shared" si="7" ref="V23:V31">IF(T23=0,100%,U23/T23)</f>
        <v>-0.09522472116415309</v>
      </c>
    </row>
    <row r="24" spans="2:22" ht="12" customHeight="1" outlineLevel="1">
      <c r="B24" s="21" t="s">
        <v>41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1688181</v>
      </c>
      <c r="I24" s="23">
        <v>0</v>
      </c>
      <c r="J24" s="23">
        <v>0</v>
      </c>
      <c r="K24" s="4">
        <v>0</v>
      </c>
      <c r="L24" s="4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4">
        <f t="shared" si="5"/>
        <v>1688181</v>
      </c>
      <c r="T24" s="4">
        <v>2086669</v>
      </c>
      <c r="U24" s="39">
        <f t="shared" si="6"/>
        <v>-398488</v>
      </c>
      <c r="V24" s="35">
        <f t="shared" si="7"/>
        <v>-0.19096847655282176</v>
      </c>
    </row>
    <row r="25" spans="2:22" ht="12" customHeight="1" outlineLevel="1">
      <c r="B25" s="21" t="s">
        <v>42</v>
      </c>
      <c r="C25" s="23">
        <v>0</v>
      </c>
      <c r="D25" s="23">
        <v>0</v>
      </c>
      <c r="E25" s="23">
        <v>0</v>
      </c>
      <c r="F25" s="23">
        <v>0</v>
      </c>
      <c r="G25" s="23">
        <v>103083</v>
      </c>
      <c r="H25" s="23">
        <v>0</v>
      </c>
      <c r="I25" s="23">
        <v>0</v>
      </c>
      <c r="J25" s="23">
        <v>0</v>
      </c>
      <c r="K25" s="4">
        <v>0</v>
      </c>
      <c r="L25" s="4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4">
        <f t="shared" si="5"/>
        <v>103083</v>
      </c>
      <c r="T25" s="4">
        <v>206029</v>
      </c>
      <c r="U25" s="39">
        <f t="shared" si="6"/>
        <v>-102946</v>
      </c>
      <c r="V25" s="35">
        <f t="shared" si="7"/>
        <v>-0.4996675225332356</v>
      </c>
    </row>
    <row r="26" spans="2:22" ht="12" customHeight="1" outlineLevel="1">
      <c r="B26" s="21" t="s">
        <v>43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4">
        <v>0</v>
      </c>
      <c r="L26" s="4">
        <v>280031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4">
        <f t="shared" si="5"/>
        <v>280031</v>
      </c>
      <c r="T26" s="4">
        <v>295899</v>
      </c>
      <c r="U26" s="39">
        <f t="shared" si="6"/>
        <v>-15868</v>
      </c>
      <c r="V26" s="35">
        <f t="shared" si="7"/>
        <v>-0.05362640630755765</v>
      </c>
    </row>
    <row r="27" spans="2:22" ht="12" customHeight="1" outlineLevel="1">
      <c r="B27" s="21" t="s">
        <v>44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4">
        <v>0</v>
      </c>
      <c r="L27" s="4">
        <v>450000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4">
        <f t="shared" si="5"/>
        <v>450000</v>
      </c>
      <c r="T27" s="4">
        <v>588199</v>
      </c>
      <c r="U27" s="39">
        <f t="shared" si="6"/>
        <v>-138199</v>
      </c>
      <c r="V27" s="35">
        <f t="shared" si="7"/>
        <v>-0.23495279658754945</v>
      </c>
    </row>
    <row r="28" spans="2:22" ht="12" customHeight="1" outlineLevel="1">
      <c r="B28" s="21" t="s">
        <v>45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4">
        <v>0</v>
      </c>
      <c r="L28" s="4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10456916.31</v>
      </c>
      <c r="S28" s="4">
        <f t="shared" si="5"/>
        <v>10456916.31</v>
      </c>
      <c r="T28" s="4">
        <v>11505625</v>
      </c>
      <c r="U28" s="39">
        <f t="shared" si="6"/>
        <v>-1048708.6899999995</v>
      </c>
      <c r="V28" s="35">
        <f t="shared" si="7"/>
        <v>-0.09114747699494807</v>
      </c>
    </row>
    <row r="29" spans="2:22" ht="12" customHeight="1" outlineLevel="1">
      <c r="B29" s="21" t="s">
        <v>46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4">
        <v>0</v>
      </c>
      <c r="L29" s="4">
        <v>0</v>
      </c>
      <c r="M29" s="23">
        <v>50142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4">
        <f t="shared" si="5"/>
        <v>50142</v>
      </c>
      <c r="T29" s="4">
        <v>54627</v>
      </c>
      <c r="U29" s="39">
        <f t="shared" si="6"/>
        <v>-4485</v>
      </c>
      <c r="V29" s="35">
        <f t="shared" si="7"/>
        <v>-0.08210225712559724</v>
      </c>
    </row>
    <row r="30" spans="2:22" ht="12" customHeight="1">
      <c r="B30" s="33" t="s">
        <v>25</v>
      </c>
      <c r="C30" s="23">
        <v>0</v>
      </c>
      <c r="D30" s="23">
        <v>0</v>
      </c>
      <c r="E30" s="23">
        <v>0</v>
      </c>
      <c r="F30" s="23">
        <f>60626-30000</f>
        <v>30626</v>
      </c>
      <c r="G30" s="23">
        <v>0</v>
      </c>
      <c r="H30" s="23">
        <v>0</v>
      </c>
      <c r="I30" s="23">
        <v>0</v>
      </c>
      <c r="J30" s="23">
        <v>0</v>
      </c>
      <c r="K30" s="4">
        <v>0</v>
      </c>
      <c r="L30" s="4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4">
        <f t="shared" si="5"/>
        <v>30626</v>
      </c>
      <c r="T30" s="4">
        <v>157820</v>
      </c>
      <c r="U30" s="39">
        <f t="shared" si="6"/>
        <v>-127194</v>
      </c>
      <c r="V30" s="35">
        <f t="shared" si="7"/>
        <v>-0.8059434799138259</v>
      </c>
    </row>
    <row r="31" spans="2:22" ht="12" customHeight="1" outlineLevel="1">
      <c r="B31" s="21" t="s">
        <v>48</v>
      </c>
      <c r="C31" s="23">
        <v>0</v>
      </c>
      <c r="D31" s="23">
        <v>0</v>
      </c>
      <c r="E31" s="23">
        <v>0</v>
      </c>
      <c r="F31" s="23">
        <v>6366</v>
      </c>
      <c r="G31" s="23">
        <v>0</v>
      </c>
      <c r="H31" s="23">
        <v>0</v>
      </c>
      <c r="I31" s="23">
        <v>0</v>
      </c>
      <c r="J31" s="23">
        <v>0</v>
      </c>
      <c r="K31" s="4">
        <v>0</v>
      </c>
      <c r="L31" s="4">
        <v>0</v>
      </c>
      <c r="M31" s="23">
        <v>7837885.55</v>
      </c>
      <c r="N31" s="23">
        <v>83744</v>
      </c>
      <c r="O31" s="23">
        <v>77055.6</v>
      </c>
      <c r="P31" s="23">
        <v>0</v>
      </c>
      <c r="Q31" s="23">
        <v>0</v>
      </c>
      <c r="R31" s="23">
        <v>0</v>
      </c>
      <c r="S31" s="4">
        <f t="shared" si="5"/>
        <v>8005051.149999999</v>
      </c>
      <c r="T31" s="4">
        <v>11839775</v>
      </c>
      <c r="U31" s="39">
        <f t="shared" si="6"/>
        <v>-3834723.8500000006</v>
      </c>
      <c r="V31" s="35">
        <f t="shared" si="7"/>
        <v>-0.3238848584538136</v>
      </c>
    </row>
    <row r="32" spans="2:22" s="13" customFormat="1" ht="12" customHeight="1" outlineLevel="1">
      <c r="B32" s="25" t="s">
        <v>17</v>
      </c>
      <c r="C32" s="26">
        <f>SUM(C23:C31)</f>
        <v>710</v>
      </c>
      <c r="D32" s="26">
        <f>SUM(D23:D31)</f>
        <v>60000</v>
      </c>
      <c r="E32" s="26">
        <f>SUM(E23:E31)</f>
        <v>0</v>
      </c>
      <c r="F32" s="26">
        <f>SUM(F23:F31)</f>
        <v>144964</v>
      </c>
      <c r="G32" s="26">
        <f>SUM(G23:G31)</f>
        <v>153082.85</v>
      </c>
      <c r="H32" s="26">
        <f>SUM(H23:H31)</f>
        <v>1688181</v>
      </c>
      <c r="I32" s="26">
        <f>SUM(I23:I31)</f>
        <v>0</v>
      </c>
      <c r="J32" s="26">
        <f>SUM(J23:J31)</f>
        <v>1497950</v>
      </c>
      <c r="K32" s="26">
        <f>SUM(K23:K31)</f>
        <v>0</v>
      </c>
      <c r="L32" s="26">
        <f>SUM(L23:L31)</f>
        <v>1051023</v>
      </c>
      <c r="M32" s="26">
        <f>SUM(M23:M31)</f>
        <v>15744277.18</v>
      </c>
      <c r="N32" s="26">
        <f>SUM(N23:N31)</f>
        <v>83744</v>
      </c>
      <c r="O32" s="26">
        <f>SUM(O23:O31)</f>
        <v>227055.6</v>
      </c>
      <c r="P32" s="26">
        <f>SUM(P23:P31)</f>
        <v>0</v>
      </c>
      <c r="Q32" s="26">
        <f>SUM(Q23:Q31)</f>
        <v>11500</v>
      </c>
      <c r="R32" s="26">
        <f>SUM(R23:R31)</f>
        <v>10503351.58</v>
      </c>
      <c r="S32" s="26">
        <f>SUM(S23:S31)</f>
        <v>31165839.21</v>
      </c>
      <c r="T32" s="26">
        <v>37899635</v>
      </c>
      <c r="U32" s="40">
        <f>SUM(U23:U31)</f>
        <v>-6733795.79</v>
      </c>
      <c r="V32" s="36">
        <f>IF(T32=0,100%,U32/T32)</f>
        <v>-0.1776744232497226</v>
      </c>
    </row>
    <row r="33" spans="2:22" ht="12" customHeight="1" outlineLevel="1">
      <c r="B33" s="21" t="s">
        <v>47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4">
        <v>0</v>
      </c>
      <c r="L33" s="4">
        <v>0</v>
      </c>
      <c r="M33" s="23">
        <v>0</v>
      </c>
      <c r="N33" s="23">
        <v>4749111</v>
      </c>
      <c r="O33" s="23">
        <v>23748633.7</v>
      </c>
      <c r="P33" s="23">
        <v>0</v>
      </c>
      <c r="Q33" s="23">
        <v>0</v>
      </c>
      <c r="R33" s="23">
        <v>51541.52</v>
      </c>
      <c r="S33" s="4">
        <f aca="true" t="shared" si="8" ref="S33:S44">SUM(C33:R33)</f>
        <v>28549286.22</v>
      </c>
      <c r="T33" s="4">
        <v>29685518</v>
      </c>
      <c r="U33" s="39">
        <f>S33-T33</f>
        <v>-1136231.7800000012</v>
      </c>
      <c r="V33" s="35">
        <f>IF(T33=0,100%,U33/T33)</f>
        <v>-0.03827562584557228</v>
      </c>
    </row>
    <row r="34" spans="2:22" ht="12" customHeight="1" outlineLevel="1">
      <c r="B34" s="33" t="s">
        <v>49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4">
        <v>0</v>
      </c>
      <c r="L34" s="4">
        <v>0</v>
      </c>
      <c r="M34" s="23">
        <v>0</v>
      </c>
      <c r="N34" s="23">
        <v>0</v>
      </c>
      <c r="O34" s="23">
        <f>61500.26-20000</f>
        <v>41500.26</v>
      </c>
      <c r="P34" s="23">
        <v>0</v>
      </c>
      <c r="Q34" s="23">
        <v>0</v>
      </c>
      <c r="R34" s="23">
        <v>0</v>
      </c>
      <c r="S34" s="4">
        <f t="shared" si="8"/>
        <v>41500.26</v>
      </c>
      <c r="T34" s="4">
        <v>61500</v>
      </c>
      <c r="U34" s="39">
        <f aca="true" t="shared" si="9" ref="U34:U44">S34-T34</f>
        <v>-19999.739999999998</v>
      </c>
      <c r="V34" s="35">
        <f aca="true" t="shared" si="10" ref="V34:V44">IF(T34=0,100%,U34/T34)</f>
        <v>-0.3251990243902439</v>
      </c>
    </row>
    <row r="35" spans="2:22" ht="12" customHeight="1" outlineLevel="1">
      <c r="B35" s="21" t="s">
        <v>50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4">
        <v>0</v>
      </c>
      <c r="L35" s="4">
        <v>0</v>
      </c>
      <c r="M35" s="23">
        <v>0</v>
      </c>
      <c r="N35" s="23">
        <v>0</v>
      </c>
      <c r="O35" s="23">
        <v>423151</v>
      </c>
      <c r="P35" s="23">
        <v>0</v>
      </c>
      <c r="Q35" s="23">
        <v>0</v>
      </c>
      <c r="R35" s="23">
        <v>0</v>
      </c>
      <c r="S35" s="4">
        <f t="shared" si="8"/>
        <v>423151</v>
      </c>
      <c r="T35" s="4">
        <v>423151</v>
      </c>
      <c r="U35" s="39">
        <f t="shared" si="9"/>
        <v>0</v>
      </c>
      <c r="V35" s="35">
        <f t="shared" si="10"/>
        <v>0</v>
      </c>
    </row>
    <row r="36" spans="2:22" ht="12" customHeight="1" outlineLevel="1">
      <c r="B36" s="33" t="s">
        <v>51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4">
        <v>0</v>
      </c>
      <c r="L36" s="4">
        <v>0</v>
      </c>
      <c r="M36" s="23">
        <f>55822-25000</f>
        <v>30822</v>
      </c>
      <c r="N36" s="23">
        <v>0</v>
      </c>
      <c r="O36" s="23">
        <f>75800.26-25000</f>
        <v>50800.259999999995</v>
      </c>
      <c r="P36" s="23">
        <v>0</v>
      </c>
      <c r="Q36" s="23">
        <v>0</v>
      </c>
      <c r="R36" s="23">
        <v>0</v>
      </c>
      <c r="S36" s="4">
        <f t="shared" si="8"/>
        <v>81622.26</v>
      </c>
      <c r="T36" s="4">
        <v>146172</v>
      </c>
      <c r="U36" s="39">
        <f t="shared" si="9"/>
        <v>-64549.740000000005</v>
      </c>
      <c r="V36" s="35">
        <f>IF(T36=0,100%,U36/T36)</f>
        <v>-0.44160126426401775</v>
      </c>
    </row>
    <row r="37" spans="2:22" ht="12" customHeight="1" outlineLevel="1">
      <c r="B37" s="21" t="s">
        <v>52</v>
      </c>
      <c r="C37" s="23">
        <v>644</v>
      </c>
      <c r="D37" s="23">
        <v>0</v>
      </c>
      <c r="E37" s="23">
        <v>0</v>
      </c>
      <c r="F37" s="23">
        <v>0</v>
      </c>
      <c r="G37" s="23">
        <v>890</v>
      </c>
      <c r="H37" s="23">
        <v>0</v>
      </c>
      <c r="I37" s="23">
        <v>0</v>
      </c>
      <c r="J37" s="23">
        <v>0</v>
      </c>
      <c r="K37" s="4">
        <v>0</v>
      </c>
      <c r="L37" s="4">
        <v>0</v>
      </c>
      <c r="M37" s="23">
        <v>0</v>
      </c>
      <c r="N37" s="23">
        <v>0</v>
      </c>
      <c r="O37" s="23">
        <f>21343.94-15000</f>
        <v>6343.939999999999</v>
      </c>
      <c r="P37" s="23">
        <v>0</v>
      </c>
      <c r="Q37" s="23">
        <v>667</v>
      </c>
      <c r="R37" s="23">
        <v>0</v>
      </c>
      <c r="S37" s="4">
        <f t="shared" si="8"/>
        <v>8544.939999999999</v>
      </c>
      <c r="T37" s="4">
        <v>29502</v>
      </c>
      <c r="U37" s="39">
        <f t="shared" si="9"/>
        <v>-20957.06</v>
      </c>
      <c r="V37" s="35">
        <f t="shared" si="10"/>
        <v>-0.710360653515016</v>
      </c>
    </row>
    <row r="38" spans="2:22" ht="12" customHeight="1" outlineLevel="1">
      <c r="B38" s="21" t="s">
        <v>53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948</v>
      </c>
      <c r="K38" s="4">
        <v>0</v>
      </c>
      <c r="L38" s="4">
        <v>0</v>
      </c>
      <c r="M38" s="23">
        <v>0</v>
      </c>
      <c r="N38" s="23">
        <v>218000</v>
      </c>
      <c r="O38" s="23">
        <v>1841712.38</v>
      </c>
      <c r="P38" s="23">
        <v>0</v>
      </c>
      <c r="Q38" s="23">
        <v>0</v>
      </c>
      <c r="R38" s="23">
        <v>117807.56</v>
      </c>
      <c r="S38" s="4">
        <f t="shared" si="8"/>
        <v>2178467.94</v>
      </c>
      <c r="T38" s="4">
        <v>2292277</v>
      </c>
      <c r="U38" s="39">
        <f t="shared" si="9"/>
        <v>-113809.06000000006</v>
      </c>
      <c r="V38" s="35">
        <f t="shared" si="10"/>
        <v>-0.04964891241329039</v>
      </c>
    </row>
    <row r="39" spans="2:22" ht="12" customHeight="1" outlineLevel="1">
      <c r="B39" s="21" t="s">
        <v>54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4">
        <v>0</v>
      </c>
      <c r="L39" s="4">
        <v>0</v>
      </c>
      <c r="M39" s="23">
        <v>0</v>
      </c>
      <c r="N39" s="23">
        <v>0</v>
      </c>
      <c r="O39" s="23">
        <v>963677.69</v>
      </c>
      <c r="P39" s="23">
        <v>0</v>
      </c>
      <c r="Q39" s="23">
        <v>0</v>
      </c>
      <c r="R39" s="23">
        <v>0</v>
      </c>
      <c r="S39" s="4">
        <f t="shared" si="8"/>
        <v>963677.69</v>
      </c>
      <c r="T39" s="4">
        <v>1023309</v>
      </c>
      <c r="U39" s="39">
        <f t="shared" si="9"/>
        <v>-59631.310000000056</v>
      </c>
      <c r="V39" s="35">
        <f t="shared" si="10"/>
        <v>-0.058273024081680176</v>
      </c>
    </row>
    <row r="40" spans="2:22" ht="12" customHeight="1" outlineLevel="1">
      <c r="B40" s="21" t="s">
        <v>55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4">
        <v>0</v>
      </c>
      <c r="L40" s="4">
        <v>0</v>
      </c>
      <c r="M40" s="23">
        <v>0</v>
      </c>
      <c r="N40" s="23">
        <v>0</v>
      </c>
      <c r="O40" s="23">
        <v>883696</v>
      </c>
      <c r="P40" s="23">
        <v>0</v>
      </c>
      <c r="Q40" s="23">
        <v>0</v>
      </c>
      <c r="R40" s="23">
        <v>0</v>
      </c>
      <c r="S40" s="4">
        <f t="shared" si="8"/>
        <v>883696</v>
      </c>
      <c r="T40" s="4">
        <v>850000</v>
      </c>
      <c r="U40" s="39">
        <f t="shared" si="9"/>
        <v>33696</v>
      </c>
      <c r="V40" s="35">
        <f>IF(T40=0,100%,U40/T40)</f>
        <v>0.03964235294117647</v>
      </c>
    </row>
    <row r="41" spans="2:22" ht="12" customHeight="1" outlineLevel="1">
      <c r="B41" s="33" t="s">
        <v>56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4">
        <v>0</v>
      </c>
      <c r="L41" s="4">
        <v>0</v>
      </c>
      <c r="M41" s="23">
        <v>0</v>
      </c>
      <c r="N41" s="23">
        <v>0</v>
      </c>
      <c r="O41" s="23">
        <v>29108</v>
      </c>
      <c r="P41" s="23">
        <v>0</v>
      </c>
      <c r="Q41" s="23">
        <v>0</v>
      </c>
      <c r="R41" s="23">
        <v>0</v>
      </c>
      <c r="S41" s="4">
        <f t="shared" si="8"/>
        <v>29108</v>
      </c>
      <c r="T41" s="4">
        <v>50600</v>
      </c>
      <c r="U41" s="39">
        <f t="shared" si="9"/>
        <v>-21492</v>
      </c>
      <c r="V41" s="35">
        <f t="shared" si="10"/>
        <v>-0.4247430830039526</v>
      </c>
    </row>
    <row r="42" spans="2:22" ht="12" customHeight="1" outlineLevel="1">
      <c r="B42" s="33" t="s">
        <v>57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4">
        <v>0</v>
      </c>
      <c r="L42" s="4">
        <v>0</v>
      </c>
      <c r="M42" s="23">
        <v>0</v>
      </c>
      <c r="N42" s="23">
        <v>0</v>
      </c>
      <c r="O42" s="23">
        <v>1763029</v>
      </c>
      <c r="P42" s="23">
        <v>0</v>
      </c>
      <c r="Q42" s="23">
        <v>0</v>
      </c>
      <c r="R42" s="23">
        <v>0</v>
      </c>
      <c r="S42" s="4">
        <f t="shared" si="8"/>
        <v>1763029</v>
      </c>
      <c r="T42" s="4">
        <v>1906846</v>
      </c>
      <c r="U42" s="39">
        <f t="shared" si="9"/>
        <v>-143817</v>
      </c>
      <c r="V42" s="35">
        <f t="shared" si="10"/>
        <v>-0.07542140267226614</v>
      </c>
    </row>
    <row r="43" spans="2:22" ht="12" customHeight="1" outlineLevel="1">
      <c r="B43" s="33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4">
        <v>0</v>
      </c>
      <c r="L43" s="4">
        <v>0</v>
      </c>
      <c r="M43" s="23">
        <v>0</v>
      </c>
      <c r="N43" s="23">
        <v>0</v>
      </c>
      <c r="O43" s="23">
        <v>177967.79</v>
      </c>
      <c r="P43" s="23">
        <v>0</v>
      </c>
      <c r="Q43" s="23">
        <v>0</v>
      </c>
      <c r="R43" s="23">
        <v>0</v>
      </c>
      <c r="S43" s="4">
        <f t="shared" si="8"/>
        <v>177967.79</v>
      </c>
      <c r="T43" s="4">
        <v>288685</v>
      </c>
      <c r="U43" s="39">
        <f t="shared" si="9"/>
        <v>-110717.20999999999</v>
      </c>
      <c r="V43" s="35">
        <f t="shared" si="10"/>
        <v>-0.38352255919081346</v>
      </c>
    </row>
    <row r="44" spans="2:22" ht="12" customHeight="1">
      <c r="B44" s="21" t="s">
        <v>59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1685</v>
      </c>
      <c r="K44" s="4">
        <v>0</v>
      </c>
      <c r="L44" s="4">
        <v>0</v>
      </c>
      <c r="M44" s="23">
        <v>20262</v>
      </c>
      <c r="N44" s="23">
        <v>0</v>
      </c>
      <c r="O44" s="23">
        <v>184639.78</v>
      </c>
      <c r="P44" s="23">
        <v>0</v>
      </c>
      <c r="Q44" s="23">
        <v>0</v>
      </c>
      <c r="R44" s="23">
        <v>82668.89</v>
      </c>
      <c r="S44" s="4">
        <f t="shared" si="8"/>
        <v>289255.67</v>
      </c>
      <c r="T44" s="4">
        <v>324860</v>
      </c>
      <c r="U44" s="39">
        <f t="shared" si="9"/>
        <v>-35604.330000000016</v>
      </c>
      <c r="V44" s="35">
        <f t="shared" si="10"/>
        <v>-0.10959899649079609</v>
      </c>
    </row>
    <row r="45" spans="2:22" s="13" customFormat="1" ht="12" customHeight="1">
      <c r="B45" s="25" t="s">
        <v>9</v>
      </c>
      <c r="C45" s="26">
        <f aca="true" t="shared" si="11" ref="C45:Q45">SUM(C33:C44)</f>
        <v>644</v>
      </c>
      <c r="D45" s="26">
        <f t="shared" si="11"/>
        <v>0</v>
      </c>
      <c r="E45" s="26">
        <f t="shared" si="11"/>
        <v>0</v>
      </c>
      <c r="F45" s="26">
        <f aca="true" t="shared" si="12" ref="F45:L45">SUM(F33:F44)</f>
        <v>0</v>
      </c>
      <c r="G45" s="26">
        <f t="shared" si="12"/>
        <v>890</v>
      </c>
      <c r="H45" s="26">
        <f t="shared" si="12"/>
        <v>0</v>
      </c>
      <c r="I45" s="26">
        <f t="shared" si="12"/>
        <v>0</v>
      </c>
      <c r="J45" s="26">
        <f t="shared" si="12"/>
        <v>2633</v>
      </c>
      <c r="K45" s="26">
        <f t="shared" si="12"/>
        <v>0</v>
      </c>
      <c r="L45" s="26">
        <f t="shared" si="12"/>
        <v>0</v>
      </c>
      <c r="M45" s="26">
        <f t="shared" si="11"/>
        <v>51084</v>
      </c>
      <c r="N45" s="26">
        <f>SUM(N33:N44)</f>
        <v>4967111</v>
      </c>
      <c r="O45" s="26">
        <f t="shared" si="11"/>
        <v>30114259.800000004</v>
      </c>
      <c r="P45" s="26">
        <f t="shared" si="11"/>
        <v>0</v>
      </c>
      <c r="Q45" s="26">
        <f t="shared" si="11"/>
        <v>667</v>
      </c>
      <c r="R45" s="26">
        <f>SUM(R33:R44)</f>
        <v>252017.96999999997</v>
      </c>
      <c r="S45" s="26">
        <f>SUM(S33:S44)</f>
        <v>35389306.77</v>
      </c>
      <c r="T45" s="26">
        <v>37082420</v>
      </c>
      <c r="U45" s="40">
        <f>SUM(U33:U44)</f>
        <v>-1693113.2300000014</v>
      </c>
      <c r="V45" s="36">
        <f>IF(T45=0,100%,U45/T45)</f>
        <v>-0.04565811050087889</v>
      </c>
    </row>
    <row r="46" spans="2:22" ht="12" customHeight="1">
      <c r="B46" s="21" t="s">
        <v>60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4">
        <v>0</v>
      </c>
      <c r="L46" s="4">
        <v>0</v>
      </c>
      <c r="M46" s="23">
        <v>7666039.24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4">
        <f aca="true" t="shared" si="13" ref="S46:S52">SUM(C46:R46)</f>
        <v>7666039.24</v>
      </c>
      <c r="T46" s="4">
        <v>8580260</v>
      </c>
      <c r="U46" s="39">
        <f aca="true" t="shared" si="14" ref="U46:U52">S46-T46</f>
        <v>-914220.7599999998</v>
      </c>
      <c r="V46" s="35">
        <f aca="true" t="shared" si="15" ref="V46:V52">IF(T46=0,100%,U46/T46)</f>
        <v>-0.1065493073636463</v>
      </c>
    </row>
    <row r="47" spans="2:22" ht="12" customHeight="1">
      <c r="B47" s="33" t="s">
        <v>61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4">
        <v>0</v>
      </c>
      <c r="L47" s="4">
        <v>0</v>
      </c>
      <c r="M47" s="23">
        <v>0</v>
      </c>
      <c r="N47" s="23">
        <v>1174911</v>
      </c>
      <c r="O47" s="23">
        <v>279352</v>
      </c>
      <c r="P47" s="23">
        <v>0</v>
      </c>
      <c r="Q47" s="23">
        <v>0</v>
      </c>
      <c r="R47" s="23">
        <v>0</v>
      </c>
      <c r="S47" s="4">
        <f t="shared" si="13"/>
        <v>1454263</v>
      </c>
      <c r="T47" s="4">
        <v>1302721</v>
      </c>
      <c r="U47" s="39">
        <f t="shared" si="14"/>
        <v>151542</v>
      </c>
      <c r="V47" s="35">
        <f t="shared" si="15"/>
        <v>0.1163272872702597</v>
      </c>
    </row>
    <row r="48" spans="2:22" ht="12" customHeight="1">
      <c r="B48" s="21" t="s">
        <v>62</v>
      </c>
      <c r="C48" s="23">
        <v>3823</v>
      </c>
      <c r="D48" s="23">
        <v>2628</v>
      </c>
      <c r="E48" s="23">
        <v>0</v>
      </c>
      <c r="F48" s="23">
        <f>45159-25000</f>
        <v>20159</v>
      </c>
      <c r="G48" s="23">
        <v>4149.6</v>
      </c>
      <c r="H48" s="23">
        <v>3423</v>
      </c>
      <c r="I48" s="23">
        <f>17121-10000</f>
        <v>7121</v>
      </c>
      <c r="J48" s="23">
        <v>1454</v>
      </c>
      <c r="K48" s="4">
        <v>0</v>
      </c>
      <c r="L48" s="4">
        <v>1821</v>
      </c>
      <c r="M48" s="23">
        <f>29537.53-5000</f>
        <v>24537.53</v>
      </c>
      <c r="N48" s="23">
        <f>91500-50000</f>
        <v>41500</v>
      </c>
      <c r="O48" s="23">
        <f>27529.51-5000</f>
        <v>22529.51</v>
      </c>
      <c r="P48" s="23">
        <v>709</v>
      </c>
      <c r="Q48" s="23">
        <v>5486</v>
      </c>
      <c r="R48" s="23">
        <f>27471.79-5000</f>
        <v>22471.79</v>
      </c>
      <c r="S48" s="4">
        <f t="shared" si="13"/>
        <v>161812.43000000002</v>
      </c>
      <c r="T48" s="4">
        <v>373530</v>
      </c>
      <c r="U48" s="39">
        <f t="shared" si="14"/>
        <v>-211717.56999999998</v>
      </c>
      <c r="V48" s="35">
        <f t="shared" si="15"/>
        <v>-0.5668020507054319</v>
      </c>
    </row>
    <row r="49" spans="2:22" ht="12" customHeight="1">
      <c r="B49" s="21" t="s">
        <v>63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4">
        <v>0</v>
      </c>
      <c r="L49" s="4">
        <v>0</v>
      </c>
      <c r="M49" s="23">
        <v>0</v>
      </c>
      <c r="N49" s="23">
        <v>0</v>
      </c>
      <c r="O49" s="23">
        <f>886000.34-73800</f>
        <v>812200.34</v>
      </c>
      <c r="P49" s="23">
        <v>0</v>
      </c>
      <c r="Q49" s="23">
        <v>0</v>
      </c>
      <c r="R49" s="23">
        <v>0</v>
      </c>
      <c r="S49" s="4">
        <f t="shared" si="13"/>
        <v>812200.34</v>
      </c>
      <c r="T49" s="4">
        <v>909425</v>
      </c>
      <c r="U49" s="39">
        <f t="shared" si="14"/>
        <v>-97224.66000000003</v>
      </c>
      <c r="V49" s="35">
        <f t="shared" si="15"/>
        <v>-0.10690783736976665</v>
      </c>
    </row>
    <row r="50" spans="2:22" ht="12" customHeight="1">
      <c r="B50" s="21" t="s">
        <v>64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4">
        <v>0</v>
      </c>
      <c r="L50" s="4">
        <v>0</v>
      </c>
      <c r="M50" s="23">
        <v>3819487.91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4">
        <f t="shared" si="13"/>
        <v>3819487.91</v>
      </c>
      <c r="T50" s="4">
        <v>8891582</v>
      </c>
      <c r="U50" s="39">
        <f t="shared" si="14"/>
        <v>-5072094.09</v>
      </c>
      <c r="V50" s="35">
        <f t="shared" si="15"/>
        <v>-0.57043775674565</v>
      </c>
    </row>
    <row r="51" spans="2:22" ht="12" customHeight="1">
      <c r="B51" s="33" t="s">
        <v>65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">
        <v>0</v>
      </c>
      <c r="L51" s="4">
        <v>0</v>
      </c>
      <c r="M51" s="23">
        <v>0</v>
      </c>
      <c r="N51" s="23">
        <v>8801330</v>
      </c>
      <c r="O51" s="23">
        <v>0</v>
      </c>
      <c r="P51" s="23">
        <v>0</v>
      </c>
      <c r="Q51" s="23">
        <v>0</v>
      </c>
      <c r="R51" s="23">
        <v>0</v>
      </c>
      <c r="S51" s="4">
        <f t="shared" si="13"/>
        <v>8801330</v>
      </c>
      <c r="T51" s="4">
        <v>8218337</v>
      </c>
      <c r="U51" s="39">
        <f t="shared" si="14"/>
        <v>582993</v>
      </c>
      <c r="V51" s="35">
        <f t="shared" si="15"/>
        <v>0.07093807421136417</v>
      </c>
    </row>
    <row r="52" spans="2:22" ht="12" customHeight="1">
      <c r="B52" s="33" t="s">
        <v>66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">
        <v>0</v>
      </c>
      <c r="L52" s="4">
        <v>0</v>
      </c>
      <c r="M52" s="23">
        <v>18141067.81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4">
        <f t="shared" si="13"/>
        <v>18141067.81</v>
      </c>
      <c r="T52" s="4">
        <v>18995336</v>
      </c>
      <c r="U52" s="39">
        <f t="shared" si="14"/>
        <v>-854268.1900000013</v>
      </c>
      <c r="V52" s="35">
        <f t="shared" si="15"/>
        <v>-0.04497252325518229</v>
      </c>
    </row>
    <row r="53" spans="2:22" s="13" customFormat="1" ht="12" customHeight="1">
      <c r="B53" s="25" t="s">
        <v>10</v>
      </c>
      <c r="C53" s="26">
        <f aca="true" t="shared" si="16" ref="C53:U53">SUM(C46:C52)</f>
        <v>3823</v>
      </c>
      <c r="D53" s="26">
        <f t="shared" si="16"/>
        <v>2628</v>
      </c>
      <c r="E53" s="26">
        <f t="shared" si="16"/>
        <v>0</v>
      </c>
      <c r="F53" s="26">
        <f t="shared" si="16"/>
        <v>20159</v>
      </c>
      <c r="G53" s="26">
        <f t="shared" si="16"/>
        <v>4149.6</v>
      </c>
      <c r="H53" s="26">
        <f t="shared" si="16"/>
        <v>3423</v>
      </c>
      <c r="I53" s="26">
        <f t="shared" si="16"/>
        <v>7121</v>
      </c>
      <c r="J53" s="26">
        <f t="shared" si="16"/>
        <v>1454</v>
      </c>
      <c r="K53" s="26">
        <f t="shared" si="16"/>
        <v>0</v>
      </c>
      <c r="L53" s="26">
        <f t="shared" si="16"/>
        <v>1821</v>
      </c>
      <c r="M53" s="26">
        <f t="shared" si="16"/>
        <v>29651132.49</v>
      </c>
      <c r="N53" s="26">
        <f t="shared" si="16"/>
        <v>10017741</v>
      </c>
      <c r="O53" s="26">
        <f t="shared" si="16"/>
        <v>1114081.85</v>
      </c>
      <c r="P53" s="26">
        <f t="shared" si="16"/>
        <v>709</v>
      </c>
      <c r="Q53" s="26">
        <f t="shared" si="16"/>
        <v>5486</v>
      </c>
      <c r="R53" s="26">
        <f t="shared" si="16"/>
        <v>22471.79</v>
      </c>
      <c r="S53" s="26">
        <f t="shared" si="16"/>
        <v>40856200.730000004</v>
      </c>
      <c r="T53" s="26">
        <f t="shared" si="16"/>
        <v>47271191</v>
      </c>
      <c r="U53" s="40">
        <f t="shared" si="16"/>
        <v>-6414990.270000001</v>
      </c>
      <c r="V53" s="36">
        <f>IF(T53=0,100%,U53/T53)</f>
        <v>-0.13570612743816846</v>
      </c>
    </row>
    <row r="54" spans="2:22" ht="12" customHeight="1">
      <c r="B54" s="33" t="s">
        <v>34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f>33369-20000</f>
        <v>13369</v>
      </c>
      <c r="J54" s="23">
        <v>0</v>
      </c>
      <c r="K54" s="4">
        <v>0</v>
      </c>
      <c r="L54" s="4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4">
        <f aca="true" t="shared" si="17" ref="S54:S59">SUM(C54:R54)</f>
        <v>13369</v>
      </c>
      <c r="T54" s="4">
        <v>26000</v>
      </c>
      <c r="U54" s="39">
        <f aca="true" t="shared" si="18" ref="U54:U59">S54-T54</f>
        <v>-12631</v>
      </c>
      <c r="V54" s="35">
        <f aca="true" t="shared" si="19" ref="V54:V59">IF(T54=0,100%,U54/T54)</f>
        <v>-0.48580769230769233</v>
      </c>
    </row>
    <row r="55" spans="2:22" ht="12" customHeight="1">
      <c r="B55" s="33" t="s">
        <v>35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1118782</v>
      </c>
      <c r="K55" s="4">
        <v>0</v>
      </c>
      <c r="L55" s="4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4">
        <f t="shared" si="17"/>
        <v>1118782</v>
      </c>
      <c r="T55" s="4">
        <v>1426601</v>
      </c>
      <c r="U55" s="39">
        <f t="shared" si="18"/>
        <v>-307819</v>
      </c>
      <c r="V55" s="35">
        <f t="shared" si="19"/>
        <v>-0.2157709128200527</v>
      </c>
    </row>
    <row r="56" spans="2:22" ht="12" customHeight="1">
      <c r="B56" s="33" t="s">
        <v>36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700499</v>
      </c>
      <c r="K56" s="4">
        <v>0</v>
      </c>
      <c r="L56" s="4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4">
        <f t="shared" si="17"/>
        <v>700499</v>
      </c>
      <c r="T56" s="4">
        <v>1019697</v>
      </c>
      <c r="U56" s="39">
        <f t="shared" si="18"/>
        <v>-319198</v>
      </c>
      <c r="V56" s="35">
        <f t="shared" si="19"/>
        <v>-0.31303220466471904</v>
      </c>
    </row>
    <row r="57" spans="2:22" ht="12" customHeight="1">
      <c r="B57" s="33" t="s">
        <v>37</v>
      </c>
      <c r="C57" s="23">
        <v>164</v>
      </c>
      <c r="D57" s="23">
        <v>7675</v>
      </c>
      <c r="E57" s="23">
        <v>0</v>
      </c>
      <c r="F57" s="23">
        <v>34847</v>
      </c>
      <c r="G57" s="23">
        <v>0</v>
      </c>
      <c r="H57" s="23">
        <v>0</v>
      </c>
      <c r="I57" s="23">
        <v>83973</v>
      </c>
      <c r="J57" s="23">
        <v>777174</v>
      </c>
      <c r="K57" s="4">
        <v>0</v>
      </c>
      <c r="L57" s="4">
        <v>0</v>
      </c>
      <c r="M57" s="23">
        <v>187970</v>
      </c>
      <c r="N57" s="23">
        <v>0</v>
      </c>
      <c r="O57" s="23">
        <v>0</v>
      </c>
      <c r="P57" s="23">
        <v>0</v>
      </c>
      <c r="Q57" s="23">
        <v>0</v>
      </c>
      <c r="R57" s="23">
        <v>5080.3</v>
      </c>
      <c r="S57" s="4">
        <f t="shared" si="17"/>
        <v>1096883.3</v>
      </c>
      <c r="T57" s="4">
        <v>1480799</v>
      </c>
      <c r="U57" s="39">
        <f t="shared" si="18"/>
        <v>-383915.69999999995</v>
      </c>
      <c r="V57" s="35">
        <f t="shared" si="19"/>
        <v>-0.259262533267513</v>
      </c>
    </row>
    <row r="58" spans="2:22" ht="12" customHeight="1">
      <c r="B58" s="21" t="s">
        <v>38</v>
      </c>
      <c r="C58" s="23">
        <v>2900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5931</v>
      </c>
      <c r="K58" s="4">
        <v>0</v>
      </c>
      <c r="L58" s="4">
        <v>0</v>
      </c>
      <c r="M58" s="23">
        <v>78100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4">
        <f t="shared" si="17"/>
        <v>86931</v>
      </c>
      <c r="T58" s="4">
        <v>130278</v>
      </c>
      <c r="U58" s="39">
        <f t="shared" si="18"/>
        <v>-43347</v>
      </c>
      <c r="V58" s="35">
        <f t="shared" si="19"/>
        <v>-0.3327269377792106</v>
      </c>
    </row>
    <row r="59" spans="2:22" ht="12" customHeight="1">
      <c r="B59" s="21" t="s">
        <v>39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16155</v>
      </c>
      <c r="K59" s="4">
        <v>0</v>
      </c>
      <c r="L59" s="4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4">
        <f t="shared" si="17"/>
        <v>16155</v>
      </c>
      <c r="T59" s="4">
        <v>46960</v>
      </c>
      <c r="U59" s="39">
        <f t="shared" si="18"/>
        <v>-30805</v>
      </c>
      <c r="V59" s="35">
        <f t="shared" si="19"/>
        <v>-0.6559838160136287</v>
      </c>
    </row>
    <row r="60" spans="2:22" s="13" customFormat="1" ht="12" customHeight="1">
      <c r="B60" s="25" t="s">
        <v>18</v>
      </c>
      <c r="C60" s="26">
        <f>SUM(C54:C59)</f>
        <v>3064</v>
      </c>
      <c r="D60" s="26">
        <f aca="true" t="shared" si="20" ref="D60:R60">SUM(D54:D59)</f>
        <v>7675</v>
      </c>
      <c r="E60" s="26">
        <f t="shared" si="20"/>
        <v>0</v>
      </c>
      <c r="F60" s="26">
        <f aca="true" t="shared" si="21" ref="F60:L60">SUM(F54:F59)</f>
        <v>34847</v>
      </c>
      <c r="G60" s="26">
        <f t="shared" si="21"/>
        <v>0</v>
      </c>
      <c r="H60" s="26">
        <f t="shared" si="21"/>
        <v>0</v>
      </c>
      <c r="I60" s="26">
        <f t="shared" si="21"/>
        <v>97342</v>
      </c>
      <c r="J60" s="26">
        <f t="shared" si="21"/>
        <v>2618541</v>
      </c>
      <c r="K60" s="26">
        <f t="shared" si="21"/>
        <v>0</v>
      </c>
      <c r="L60" s="26">
        <f t="shared" si="21"/>
        <v>0</v>
      </c>
      <c r="M60" s="26">
        <f t="shared" si="20"/>
        <v>266070</v>
      </c>
      <c r="N60" s="26">
        <f>SUM(N54:N59)</f>
        <v>0</v>
      </c>
      <c r="O60" s="26">
        <f t="shared" si="20"/>
        <v>0</v>
      </c>
      <c r="P60" s="26">
        <f t="shared" si="20"/>
        <v>0</v>
      </c>
      <c r="Q60" s="26">
        <f t="shared" si="20"/>
        <v>0</v>
      </c>
      <c r="R60" s="26">
        <f t="shared" si="20"/>
        <v>5080.3</v>
      </c>
      <c r="S60" s="26">
        <f>SUM(S54:S59)</f>
        <v>3032619.3</v>
      </c>
      <c r="T60" s="26">
        <v>4130335</v>
      </c>
      <c r="U60" s="40">
        <f>SUM(U54:U59)</f>
        <v>-1097715.7</v>
      </c>
      <c r="V60" s="36">
        <f>IF(T60=0,100%,U60/T60)</f>
        <v>-0.26576916884465784</v>
      </c>
    </row>
    <row r="61" spans="2:22" ht="12" customHeight="1">
      <c r="B61" s="21" t="s">
        <v>23</v>
      </c>
      <c r="C61" s="23">
        <v>2308</v>
      </c>
      <c r="D61" s="23">
        <v>2801</v>
      </c>
      <c r="E61" s="23">
        <f>61918-10000</f>
        <v>51918</v>
      </c>
      <c r="F61" s="23">
        <f>5366-2000</f>
        <v>3366</v>
      </c>
      <c r="G61" s="23">
        <v>298.64</v>
      </c>
      <c r="H61" s="23">
        <v>2300</v>
      </c>
      <c r="I61" s="23">
        <v>865</v>
      </c>
      <c r="J61" s="23">
        <v>8902</v>
      </c>
      <c r="K61" s="4">
        <v>0</v>
      </c>
      <c r="L61" s="4">
        <v>0</v>
      </c>
      <c r="M61" s="23">
        <f>15228.21-6000</f>
        <v>9228.21</v>
      </c>
      <c r="N61" s="23">
        <v>0</v>
      </c>
      <c r="O61" s="23">
        <f>4738-2000</f>
        <v>2738</v>
      </c>
      <c r="P61" s="23">
        <v>780</v>
      </c>
      <c r="Q61" s="23">
        <v>500</v>
      </c>
      <c r="R61" s="23">
        <v>1000</v>
      </c>
      <c r="S61" s="4">
        <f aca="true" t="shared" si="22" ref="S61:S70">SUM(C61:R61)</f>
        <v>87004.85</v>
      </c>
      <c r="T61" s="4">
        <v>132150</v>
      </c>
      <c r="U61" s="39">
        <f aca="true" t="shared" si="23" ref="U61:U70">S61-T61</f>
        <v>-45145.149999999994</v>
      </c>
      <c r="V61" s="35">
        <f aca="true" t="shared" si="24" ref="V61:V70">IF(T61=0,100%,U61/T61)</f>
        <v>-0.3416205069996216</v>
      </c>
    </row>
    <row r="62" spans="2:22" ht="12" customHeight="1">
      <c r="B62" s="33" t="s">
        <v>24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4">
        <v>0</v>
      </c>
      <c r="L62" s="4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f>2837000+73455</f>
        <v>2910455</v>
      </c>
      <c r="S62" s="4">
        <f t="shared" si="22"/>
        <v>2910455</v>
      </c>
      <c r="T62" s="4">
        <v>3071370</v>
      </c>
      <c r="U62" s="39">
        <f t="shared" si="23"/>
        <v>-160915</v>
      </c>
      <c r="V62" s="35">
        <f t="shared" si="24"/>
        <v>-0.052391929334466375</v>
      </c>
    </row>
    <row r="63" spans="2:22" ht="12" customHeight="1">
      <c r="B63" s="21" t="s">
        <v>26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331</v>
      </c>
      <c r="K63" s="4">
        <v>0</v>
      </c>
      <c r="L63" s="4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4">
        <f t="shared" si="22"/>
        <v>331</v>
      </c>
      <c r="T63" s="4">
        <v>1752</v>
      </c>
      <c r="U63" s="39">
        <f t="shared" si="23"/>
        <v>-1421</v>
      </c>
      <c r="V63" s="35">
        <f t="shared" si="24"/>
        <v>-0.8110730593607306</v>
      </c>
    </row>
    <row r="64" spans="2:22" ht="12" customHeight="1">
      <c r="B64" s="21" t="s">
        <v>27</v>
      </c>
      <c r="C64" s="23">
        <f>10826-5000</f>
        <v>5826</v>
      </c>
      <c r="D64" s="23">
        <f>12902-8000</f>
        <v>4902</v>
      </c>
      <c r="E64" s="23">
        <f>12926-8000</f>
        <v>4926</v>
      </c>
      <c r="F64" s="23">
        <v>0</v>
      </c>
      <c r="G64" s="23">
        <v>153.63</v>
      </c>
      <c r="H64" s="23">
        <f>5804-3000</f>
        <v>2804</v>
      </c>
      <c r="I64" s="23">
        <f>14002-10000</f>
        <v>4002</v>
      </c>
      <c r="J64" s="23">
        <f>31822-6000</f>
        <v>25822</v>
      </c>
      <c r="K64" s="4">
        <v>0</v>
      </c>
      <c r="L64" s="4">
        <f>6633-5000</f>
        <v>1633</v>
      </c>
      <c r="M64" s="23">
        <f>8934.76-5000</f>
        <v>3934.76</v>
      </c>
      <c r="N64" s="23">
        <f>24900-20000</f>
        <v>4900</v>
      </c>
      <c r="O64" s="23">
        <f>10199.86-8000</f>
        <v>2199.8600000000006</v>
      </c>
      <c r="P64" s="23">
        <f>6984-5000</f>
        <v>1984</v>
      </c>
      <c r="Q64" s="23">
        <f>4285-2000</f>
        <v>2285</v>
      </c>
      <c r="R64" s="23">
        <f>8183.04-5000</f>
        <v>3183.04</v>
      </c>
      <c r="S64" s="4">
        <f t="shared" si="22"/>
        <v>68555.29</v>
      </c>
      <c r="T64" s="4">
        <v>246737</v>
      </c>
      <c r="U64" s="39">
        <f>S64-T64</f>
        <v>-178181.71000000002</v>
      </c>
      <c r="V64" s="35">
        <f t="shared" si="24"/>
        <v>-0.7221523727693862</v>
      </c>
    </row>
    <row r="65" spans="2:22" ht="12" customHeight="1">
      <c r="B65" s="21" t="s">
        <v>28</v>
      </c>
      <c r="C65" s="23">
        <v>4562</v>
      </c>
      <c r="D65" s="23">
        <v>60000</v>
      </c>
      <c r="E65" s="23">
        <v>9500</v>
      </c>
      <c r="F65" s="23">
        <v>2366</v>
      </c>
      <c r="G65" s="23">
        <v>3570.83</v>
      </c>
      <c r="H65" s="23">
        <v>77111</v>
      </c>
      <c r="I65" s="23">
        <v>58802</v>
      </c>
      <c r="J65" s="23">
        <v>16839</v>
      </c>
      <c r="K65" s="4">
        <v>1562</v>
      </c>
      <c r="L65" s="4">
        <v>475</v>
      </c>
      <c r="M65" s="23">
        <v>2284</v>
      </c>
      <c r="N65" s="23">
        <v>6000</v>
      </c>
      <c r="O65" s="23">
        <v>25214.28</v>
      </c>
      <c r="P65" s="23">
        <v>9000</v>
      </c>
      <c r="Q65" s="23">
        <v>1157</v>
      </c>
      <c r="R65" s="23">
        <v>3691</v>
      </c>
      <c r="S65" s="4">
        <f t="shared" si="22"/>
        <v>282134.11</v>
      </c>
      <c r="T65" s="4">
        <v>355576</v>
      </c>
      <c r="U65" s="39">
        <f t="shared" si="23"/>
        <v>-73441.89000000001</v>
      </c>
      <c r="V65" s="35">
        <f>IF(T65=0,100%,U65/T65)</f>
        <v>-0.20654343937723585</v>
      </c>
    </row>
    <row r="66" spans="2:22" ht="12" customHeight="1">
      <c r="B66" s="21" t="s">
        <v>29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4">
        <v>0</v>
      </c>
      <c r="L66" s="4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6182.22</v>
      </c>
      <c r="S66" s="4">
        <f t="shared" si="22"/>
        <v>6182.22</v>
      </c>
      <c r="T66" s="4">
        <v>6182</v>
      </c>
      <c r="U66" s="39">
        <f t="shared" si="23"/>
        <v>0.22000000000025466</v>
      </c>
      <c r="V66" s="35">
        <f t="shared" si="24"/>
        <v>3.5587188612140835E-05</v>
      </c>
    </row>
    <row r="67" spans="2:22" ht="12" customHeight="1">
      <c r="B67" s="33" t="s">
        <v>30</v>
      </c>
      <c r="C67" s="23">
        <v>5442</v>
      </c>
      <c r="D67" s="23">
        <v>400</v>
      </c>
      <c r="E67" s="23">
        <v>2020</v>
      </c>
      <c r="F67" s="23">
        <v>4963</v>
      </c>
      <c r="G67" s="23">
        <v>769.94</v>
      </c>
      <c r="H67" s="23">
        <v>27256</v>
      </c>
      <c r="I67" s="23">
        <v>4920</v>
      </c>
      <c r="J67" s="23">
        <v>5583</v>
      </c>
      <c r="K67" s="4">
        <v>244165</v>
      </c>
      <c r="L67" s="4">
        <v>883</v>
      </c>
      <c r="M67" s="23">
        <v>40810.25</v>
      </c>
      <c r="N67" s="23">
        <v>112200</v>
      </c>
      <c r="O67" s="23">
        <v>14657</v>
      </c>
      <c r="P67" s="23">
        <v>47126</v>
      </c>
      <c r="Q67" s="23">
        <v>2041</v>
      </c>
      <c r="R67" s="23">
        <v>9853.73</v>
      </c>
      <c r="S67" s="4">
        <f t="shared" si="22"/>
        <v>523089.92</v>
      </c>
      <c r="T67" s="4">
        <v>656287</v>
      </c>
      <c r="U67" s="39">
        <f t="shared" si="23"/>
        <v>-133197.08000000002</v>
      </c>
      <c r="V67" s="35">
        <f t="shared" si="24"/>
        <v>-0.20295553622119594</v>
      </c>
    </row>
    <row r="68" spans="2:22" ht="12" customHeight="1">
      <c r="B68" s="21" t="s">
        <v>31</v>
      </c>
      <c r="C68" s="23">
        <v>420</v>
      </c>
      <c r="D68" s="23">
        <v>58</v>
      </c>
      <c r="E68" s="23">
        <v>1257</v>
      </c>
      <c r="F68" s="23">
        <v>483</v>
      </c>
      <c r="G68" s="23">
        <v>0</v>
      </c>
      <c r="H68" s="23">
        <v>472</v>
      </c>
      <c r="I68" s="23">
        <v>90</v>
      </c>
      <c r="J68" s="23">
        <v>332</v>
      </c>
      <c r="K68" s="4">
        <v>0</v>
      </c>
      <c r="L68" s="4">
        <v>233</v>
      </c>
      <c r="M68" s="23">
        <v>1097.51</v>
      </c>
      <c r="N68" s="23">
        <v>0</v>
      </c>
      <c r="O68" s="23">
        <v>283</v>
      </c>
      <c r="P68" s="23">
        <v>215</v>
      </c>
      <c r="Q68" s="23">
        <v>407</v>
      </c>
      <c r="R68" s="23">
        <v>105.82</v>
      </c>
      <c r="S68" s="4">
        <f t="shared" si="22"/>
        <v>5453.33</v>
      </c>
      <c r="T68" s="4">
        <v>7112</v>
      </c>
      <c r="U68" s="39">
        <f t="shared" si="23"/>
        <v>-1658.67</v>
      </c>
      <c r="V68" s="35">
        <f t="shared" si="24"/>
        <v>-0.23322131608548932</v>
      </c>
    </row>
    <row r="69" spans="2:22" ht="12" customHeight="1">
      <c r="B69" s="33" t="s">
        <v>32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4">
        <v>0</v>
      </c>
      <c r="L69" s="4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4">
        <f t="shared" si="22"/>
        <v>0</v>
      </c>
      <c r="T69" s="4">
        <v>1600</v>
      </c>
      <c r="U69" s="39">
        <f t="shared" si="23"/>
        <v>-1600</v>
      </c>
      <c r="V69" s="35">
        <f t="shared" si="24"/>
        <v>-1</v>
      </c>
    </row>
    <row r="70" spans="2:22" ht="12" customHeight="1">
      <c r="B70" s="33" t="s">
        <v>33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4">
        <v>0</v>
      </c>
      <c r="L70" s="4">
        <v>100000</v>
      </c>
      <c r="M70" s="23">
        <v>354859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4">
        <f t="shared" si="22"/>
        <v>454859</v>
      </c>
      <c r="T70" s="4">
        <v>472649</v>
      </c>
      <c r="U70" s="39">
        <f t="shared" si="23"/>
        <v>-17790</v>
      </c>
      <c r="V70" s="35">
        <f t="shared" si="24"/>
        <v>-0.037638924444989834</v>
      </c>
    </row>
    <row r="71" spans="2:22" s="13" customFormat="1" ht="12" customHeight="1">
      <c r="B71" s="25" t="s">
        <v>19</v>
      </c>
      <c r="C71" s="26">
        <f>SUM(C61:C70)</f>
        <v>18558</v>
      </c>
      <c r="D71" s="26">
        <f aca="true" t="shared" si="25" ref="D71:R71">SUM(D61:D70)</f>
        <v>68161</v>
      </c>
      <c r="E71" s="26">
        <f t="shared" si="25"/>
        <v>69621</v>
      </c>
      <c r="F71" s="26">
        <f aca="true" t="shared" si="26" ref="F71:L71">SUM(F61:F70)</f>
        <v>11178</v>
      </c>
      <c r="G71" s="26">
        <f t="shared" si="26"/>
        <v>4793.04</v>
      </c>
      <c r="H71" s="26">
        <f t="shared" si="26"/>
        <v>109943</v>
      </c>
      <c r="I71" s="26">
        <f t="shared" si="26"/>
        <v>68679</v>
      </c>
      <c r="J71" s="26">
        <f t="shared" si="26"/>
        <v>57809</v>
      </c>
      <c r="K71" s="26">
        <f t="shared" si="26"/>
        <v>245727</v>
      </c>
      <c r="L71" s="26">
        <f t="shared" si="26"/>
        <v>103224</v>
      </c>
      <c r="M71" s="26">
        <f t="shared" si="25"/>
        <v>412213.73</v>
      </c>
      <c r="N71" s="26">
        <f>SUM(N61:N70)</f>
        <v>123100</v>
      </c>
      <c r="O71" s="26">
        <f t="shared" si="25"/>
        <v>45092.14</v>
      </c>
      <c r="P71" s="26">
        <f t="shared" si="25"/>
        <v>59105</v>
      </c>
      <c r="Q71" s="26">
        <f t="shared" si="25"/>
        <v>6390</v>
      </c>
      <c r="R71" s="26">
        <f t="shared" si="25"/>
        <v>2934470.81</v>
      </c>
      <c r="S71" s="26">
        <f>SUM(S61:S70)</f>
        <v>4338064.720000001</v>
      </c>
      <c r="T71" s="26">
        <v>4951415</v>
      </c>
      <c r="U71" s="40">
        <f>SUM(U61:U70)</f>
        <v>-613350.2800000001</v>
      </c>
      <c r="V71" s="36">
        <f>IF(T71=0,100%,U71/T71)</f>
        <v>-0.12387373710343409</v>
      </c>
    </row>
    <row r="72" spans="2:22" ht="3.75" customHeight="1" thickBot="1">
      <c r="B72" s="27"/>
      <c r="C72" s="28"/>
      <c r="D72" s="28"/>
      <c r="E72" s="28"/>
      <c r="F72" s="28"/>
      <c r="G72" s="28"/>
      <c r="H72" s="28"/>
      <c r="I72" s="28"/>
      <c r="J72" s="28"/>
      <c r="K72" s="3"/>
      <c r="L72" s="3"/>
      <c r="M72" s="28"/>
      <c r="N72" s="28"/>
      <c r="O72" s="28"/>
      <c r="P72" s="28"/>
      <c r="Q72" s="28"/>
      <c r="R72" s="3"/>
      <c r="S72" s="3"/>
      <c r="T72" s="3"/>
      <c r="U72" s="3"/>
      <c r="V72" s="37"/>
    </row>
    <row r="73" spans="2:22" ht="15" customHeight="1" thickBot="1">
      <c r="B73" s="29" t="s">
        <v>13</v>
      </c>
      <c r="C73" s="30">
        <f aca="true" t="shared" si="27" ref="C73:S73">C22+C32+C45+C53+C60+C71</f>
        <v>1671997</v>
      </c>
      <c r="D73" s="30">
        <f t="shared" si="27"/>
        <v>570069</v>
      </c>
      <c r="E73" s="30">
        <f t="shared" si="27"/>
        <v>166618</v>
      </c>
      <c r="F73" s="30">
        <f t="shared" si="27"/>
        <v>1364289</v>
      </c>
      <c r="G73" s="30">
        <f t="shared" si="27"/>
        <v>898713.1900000001</v>
      </c>
      <c r="H73" s="30">
        <f t="shared" si="27"/>
        <v>2703016</v>
      </c>
      <c r="I73" s="30">
        <f t="shared" si="27"/>
        <v>1713970</v>
      </c>
      <c r="J73" s="30">
        <f t="shared" si="27"/>
        <v>5676840</v>
      </c>
      <c r="K73" s="30">
        <f t="shared" si="27"/>
        <v>9815818</v>
      </c>
      <c r="L73" s="30">
        <f t="shared" si="27"/>
        <v>2241745</v>
      </c>
      <c r="M73" s="30">
        <f t="shared" si="27"/>
        <v>57729905.10999999</v>
      </c>
      <c r="N73" s="30">
        <f t="shared" si="27"/>
        <v>24212862.68</v>
      </c>
      <c r="O73" s="30">
        <f t="shared" si="27"/>
        <v>41480959.79000001</v>
      </c>
      <c r="P73" s="30">
        <f t="shared" si="27"/>
        <v>1218530</v>
      </c>
      <c r="Q73" s="30">
        <f t="shared" si="27"/>
        <v>2397121</v>
      </c>
      <c r="R73" s="30">
        <f t="shared" si="27"/>
        <v>19848746.29</v>
      </c>
      <c r="S73" s="30">
        <f t="shared" si="27"/>
        <v>173711200.06000003</v>
      </c>
      <c r="T73" s="30">
        <v>195479999.68</v>
      </c>
      <c r="U73" s="44">
        <f>U22+U32+U45+U53+U60+U71</f>
        <v>-21768799.62</v>
      </c>
      <c r="V73" s="38">
        <f>IF(T73=0,100%,U73/T73)</f>
        <v>-0.11136075125657581</v>
      </c>
    </row>
    <row r="74" spans="2:17" s="15" customFormat="1" ht="3" customHeight="1" thickTop="1">
      <c r="B74" s="31"/>
      <c r="C74" s="32"/>
      <c r="D74" s="32"/>
      <c r="E74" s="32"/>
      <c r="F74" s="32"/>
      <c r="G74" s="32"/>
      <c r="H74" s="32"/>
      <c r="I74" s="32"/>
      <c r="J74" s="32"/>
      <c r="M74" s="32"/>
      <c r="N74" s="32"/>
      <c r="O74" s="32"/>
      <c r="P74" s="32"/>
      <c r="Q74" s="32"/>
    </row>
    <row r="75" spans="2:20" s="15" customFormat="1" ht="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41"/>
    </row>
    <row r="76" spans="2:22" ht="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5"/>
      <c r="V76" s="15"/>
    </row>
    <row r="77" ht="15">
      <c r="B77" s="6"/>
    </row>
    <row r="79" ht="15">
      <c r="U79" s="34"/>
    </row>
  </sheetData>
  <sheetProtection/>
  <printOptions/>
  <pageMargins left="0.7" right="0.7" top="0.75" bottom="0.75" header="0.3" footer="0.3"/>
  <pageSetup orientation="portrait" r:id="rId2"/>
  <ignoredErrors>
    <ignoredError sqref="U75:V75 S54:S60 C74:E75 C72:E72 R74:V74 R75:S75 M74:M75 M72 O74:Q75 O72:S72 U53:U60 U72:V72 U12:U45 S12:S52 U46:U52 S53" formula="1"/>
    <ignoredError sqref="T53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92"/>
  <sheetViews>
    <sheetView showGridLines="0" tabSelected="1" zoomScale="110" zoomScaleNormal="110" zoomScalePageLayoutView="0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88" sqref="N88"/>
    </sheetView>
  </sheetViews>
  <sheetFormatPr defaultColWidth="9.140625" defaultRowHeight="15" outlineLevelCol="1"/>
  <cols>
    <col min="1" max="1" width="0" style="46" hidden="1" customWidth="1"/>
    <col min="2" max="2" width="37.140625" style="46" bestFit="1" customWidth="1"/>
    <col min="3" max="4" width="14.421875" style="46" customWidth="1" outlineLevel="1"/>
    <col min="5" max="5" width="12.00390625" style="46" customWidth="1" outlineLevel="1"/>
    <col min="6" max="6" width="11.28125" style="46" customWidth="1" outlineLevel="1"/>
    <col min="7" max="7" width="12.140625" style="46" customWidth="1" outlineLevel="1"/>
    <col min="8" max="8" width="12.421875" style="46" customWidth="1" outlineLevel="1"/>
    <col min="9" max="9" width="12.28125" style="46" customWidth="1" outlineLevel="1"/>
    <col min="10" max="10" width="11.00390625" style="46" customWidth="1" outlineLevel="1"/>
    <col min="11" max="11" width="13.8515625" style="46" customWidth="1" outlineLevel="1"/>
    <col min="12" max="12" width="13.28125" style="46" customWidth="1"/>
    <col min="13" max="13" width="15.421875" style="46" customWidth="1" outlineLevel="1"/>
    <col min="14" max="14" width="13.421875" style="46" customWidth="1" outlineLevel="1" collapsed="1"/>
    <col min="15" max="15" width="14.8515625" style="46" customWidth="1" outlineLevel="1"/>
    <col min="16" max="17" width="13.28125" style="46" customWidth="1" outlineLevel="1"/>
    <col min="18" max="18" width="12.28125" style="46" customWidth="1" outlineLevel="1"/>
    <col min="19" max="19" width="13.28125" style="46" bestFit="1" customWidth="1"/>
    <col min="20" max="21" width="14.8515625" style="46" bestFit="1" customWidth="1"/>
    <col min="22" max="22" width="14.00390625" style="46" bestFit="1" customWidth="1"/>
    <col min="23" max="23" width="12.28125" style="46" hidden="1" customWidth="1"/>
    <col min="24" max="24" width="13.00390625" style="47" hidden="1" customWidth="1"/>
    <col min="25" max="16384" width="9.140625" style="46" customWidth="1"/>
  </cols>
  <sheetData>
    <row r="1" spans="23:24" ht="12.75">
      <c r="W1" s="47"/>
      <c r="X1" s="46"/>
    </row>
    <row r="2" spans="2:24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7"/>
      <c r="X2" s="46"/>
    </row>
    <row r="3" spans="2:24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7"/>
      <c r="X3" s="46"/>
    </row>
    <row r="4" spans="2:24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7"/>
      <c r="X4" s="46"/>
    </row>
    <row r="5" spans="2:24" ht="12.7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/>
      <c r="X5" s="46"/>
    </row>
    <row r="6" spans="2:24" ht="12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7"/>
      <c r="X6" s="46"/>
    </row>
    <row r="7" spans="2:24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7"/>
      <c r="X7" s="50"/>
    </row>
    <row r="8" spans="2:24" ht="12.75" customHeigh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51"/>
      <c r="U8" s="51"/>
      <c r="V8" s="51"/>
      <c r="W8" s="47"/>
      <c r="X8" s="46"/>
    </row>
    <row r="9" spans="2:24" ht="30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1"/>
      <c r="U9" s="51"/>
      <c r="V9" s="51"/>
      <c r="W9" s="47"/>
      <c r="X9" s="50"/>
    </row>
    <row r="10" spans="2:22" s="55" customFormat="1" ht="38.25" customHeight="1">
      <c r="B10" s="56" t="s">
        <v>12</v>
      </c>
      <c r="C10" s="57" t="s">
        <v>15</v>
      </c>
      <c r="D10" s="57" t="s">
        <v>1</v>
      </c>
      <c r="E10" s="57" t="s">
        <v>2</v>
      </c>
      <c r="F10" s="57" t="s">
        <v>3</v>
      </c>
      <c r="G10" s="57" t="s">
        <v>4</v>
      </c>
      <c r="H10" s="57" t="s">
        <v>5</v>
      </c>
      <c r="I10" s="57" t="s">
        <v>14</v>
      </c>
      <c r="J10" s="57" t="s">
        <v>6</v>
      </c>
      <c r="K10" s="57" t="s">
        <v>7</v>
      </c>
      <c r="L10" s="57" t="s">
        <v>20</v>
      </c>
      <c r="M10" s="57" t="s">
        <v>16</v>
      </c>
      <c r="N10" s="57" t="s">
        <v>8</v>
      </c>
      <c r="O10" s="57" t="s">
        <v>9</v>
      </c>
      <c r="P10" s="57" t="s">
        <v>10</v>
      </c>
      <c r="Q10" s="57" t="s">
        <v>11</v>
      </c>
      <c r="R10" s="57" t="s">
        <v>78</v>
      </c>
      <c r="S10" s="57" t="s">
        <v>80</v>
      </c>
      <c r="T10" s="57" t="s">
        <v>77</v>
      </c>
      <c r="U10" s="57" t="s">
        <v>81</v>
      </c>
      <c r="V10" s="57" t="s">
        <v>82</v>
      </c>
    </row>
    <row r="11" spans="1:24" ht="12" customHeight="1">
      <c r="A11" s="58">
        <v>511101</v>
      </c>
      <c r="B11" s="59" t="s">
        <v>67</v>
      </c>
      <c r="C11" s="60">
        <v>1484892.2789319851</v>
      </c>
      <c r="D11" s="60">
        <v>395104.10974656616</v>
      </c>
      <c r="E11" s="60">
        <v>87527.74051076362</v>
      </c>
      <c r="F11" s="60">
        <v>1022069.5620439257</v>
      </c>
      <c r="G11" s="60">
        <v>658343.3942501042</v>
      </c>
      <c r="H11" s="60">
        <v>813411.363496603</v>
      </c>
      <c r="I11" s="60">
        <v>1390317.1795348746</v>
      </c>
      <c r="J11" s="60">
        <v>1351430.2555682391</v>
      </c>
      <c r="K11" s="60">
        <v>0</v>
      </c>
      <c r="L11" s="60">
        <v>979625.8497374752</v>
      </c>
      <c r="M11" s="60">
        <v>12804620.577282093</v>
      </c>
      <c r="N11" s="60">
        <v>8074794.140000001</v>
      </c>
      <c r="O11" s="60">
        <v>8580303.537902689</v>
      </c>
      <c r="P11" s="60">
        <v>1047526.0481677353</v>
      </c>
      <c r="Q11" s="60">
        <v>2147988.305413946</v>
      </c>
      <c r="R11" s="60">
        <v>6234544.710922632</v>
      </c>
      <c r="S11" s="60">
        <f aca="true" t="shared" si="0" ref="S11:S42">SUM(C11:R11)</f>
        <v>47072499.05350964</v>
      </c>
      <c r="T11" s="60">
        <v>48506316.342976</v>
      </c>
      <c r="U11" s="61">
        <f>S11-T11</f>
        <v>-1433817.2894663587</v>
      </c>
      <c r="V11" s="62">
        <f>IF(T11=0,100%,U11/T11)</f>
        <v>-0.029559393447405824</v>
      </c>
      <c r="W11" s="63">
        <f>S11*8.02%</f>
        <v>3775214.4240914728</v>
      </c>
      <c r="X11" s="46" t="s">
        <v>83</v>
      </c>
    </row>
    <row r="12" spans="1:24" ht="12" customHeight="1">
      <c r="A12" s="58">
        <v>511202</v>
      </c>
      <c r="B12" s="59" t="s">
        <v>68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f t="shared" si="0"/>
        <v>0</v>
      </c>
      <c r="T12" s="64">
        <v>205199</v>
      </c>
      <c r="U12" s="65">
        <f aca="true" t="shared" si="1" ref="U12:U79">S12-T12</f>
        <v>-205199</v>
      </c>
      <c r="V12" s="62">
        <f aca="true" t="shared" si="2" ref="V12:V79">IF(T12=0,100%,U12/T12)</f>
        <v>-1</v>
      </c>
      <c r="W12" s="47"/>
      <c r="X12" s="46"/>
    </row>
    <row r="13" spans="1:24" ht="12" customHeight="1">
      <c r="A13" s="58">
        <v>511301</v>
      </c>
      <c r="B13" s="59" t="s">
        <v>69</v>
      </c>
      <c r="C13" s="64">
        <v>0</v>
      </c>
      <c r="D13" s="64">
        <v>0</v>
      </c>
      <c r="E13" s="64">
        <v>0</v>
      </c>
      <c r="F13" s="64">
        <v>144</v>
      </c>
      <c r="G13" s="64">
        <v>0</v>
      </c>
      <c r="H13" s="64">
        <v>0</v>
      </c>
      <c r="I13" s="64">
        <v>0</v>
      </c>
      <c r="J13" s="64">
        <v>721.31</v>
      </c>
      <c r="K13" s="64">
        <v>0</v>
      </c>
      <c r="L13" s="64">
        <v>0</v>
      </c>
      <c r="M13" s="64">
        <v>390587.0455467813</v>
      </c>
      <c r="N13" s="64">
        <v>90035.20999999999</v>
      </c>
      <c r="O13" s="64">
        <v>309305.7199842664</v>
      </c>
      <c r="P13" s="64">
        <v>0</v>
      </c>
      <c r="Q13" s="64">
        <v>0</v>
      </c>
      <c r="R13" s="64">
        <v>23269.86999999998</v>
      </c>
      <c r="S13" s="64">
        <f t="shared" si="0"/>
        <v>814063.1555310477</v>
      </c>
      <c r="T13" s="64">
        <v>949567</v>
      </c>
      <c r="U13" s="65">
        <f t="shared" si="1"/>
        <v>-135503.84446895227</v>
      </c>
      <c r="V13" s="62">
        <f t="shared" si="2"/>
        <v>-0.1427006672187979</v>
      </c>
      <c r="W13" s="66">
        <f>S11*3.5%</f>
        <v>1647537.4668728374</v>
      </c>
      <c r="X13" s="67" t="s">
        <v>84</v>
      </c>
    </row>
    <row r="14" spans="1:24" ht="12" customHeight="1">
      <c r="A14" s="58">
        <v>512101</v>
      </c>
      <c r="B14" s="59" t="s">
        <v>70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9544923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f t="shared" si="0"/>
        <v>9544923</v>
      </c>
      <c r="T14" s="64">
        <v>9631861.78</v>
      </c>
      <c r="U14" s="65">
        <f t="shared" si="1"/>
        <v>-86938.77999999933</v>
      </c>
      <c r="V14" s="62">
        <f t="shared" si="2"/>
        <v>-0.00902616565579488</v>
      </c>
      <c r="W14" s="68"/>
      <c r="X14" s="46"/>
    </row>
    <row r="15" spans="1:24" ht="12" customHeight="1">
      <c r="A15" s="58">
        <v>512401</v>
      </c>
      <c r="B15" s="59" t="s">
        <v>71</v>
      </c>
      <c r="C15" s="64">
        <v>191602.90922070318</v>
      </c>
      <c r="D15" s="64">
        <v>44950.458388588784</v>
      </c>
      <c r="E15" s="64">
        <v>11292.46362509965</v>
      </c>
      <c r="F15" s="64">
        <v>139586.7405613608</v>
      </c>
      <c r="G15" s="64">
        <v>91292.38996578235</v>
      </c>
      <c r="H15" s="64">
        <v>105262.82069026263</v>
      </c>
      <c r="I15" s="64">
        <v>179489.39737795232</v>
      </c>
      <c r="J15" s="64">
        <v>174469.54629385966</v>
      </c>
      <c r="K15" s="64">
        <v>0</v>
      </c>
      <c r="L15" s="64">
        <v>126469.23460110804</v>
      </c>
      <c r="M15" s="64">
        <v>1656970.2690645114</v>
      </c>
      <c r="N15" s="64">
        <v>1042455.9234740001</v>
      </c>
      <c r="O15" s="64">
        <v>1107717.6236432372</v>
      </c>
      <c r="P15" s="64">
        <v>132981.81749460555</v>
      </c>
      <c r="Q15" s="64">
        <v>269719.96410878265</v>
      </c>
      <c r="R15" s="64">
        <v>804880.144380112</v>
      </c>
      <c r="S15" s="64">
        <f t="shared" si="0"/>
        <v>6079141.702889967</v>
      </c>
      <c r="T15" s="64">
        <v>6271464.684509001</v>
      </c>
      <c r="U15" s="65">
        <f t="shared" si="1"/>
        <v>-192322.98161903396</v>
      </c>
      <c r="V15" s="62">
        <f t="shared" si="2"/>
        <v>-0.030666358066894085</v>
      </c>
      <c r="W15" s="68"/>
      <c r="X15" s="46"/>
    </row>
    <row r="16" spans="1:24" ht="12" customHeight="1">
      <c r="A16" s="58">
        <v>512402</v>
      </c>
      <c r="B16" s="59" t="s">
        <v>72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f t="shared" si="0"/>
        <v>0</v>
      </c>
      <c r="T16" s="64">
        <v>26613.6</v>
      </c>
      <c r="U16" s="65">
        <f t="shared" si="1"/>
        <v>-26613.6</v>
      </c>
      <c r="V16" s="62">
        <f t="shared" si="2"/>
        <v>-1</v>
      </c>
      <c r="W16" s="47"/>
      <c r="X16" s="46"/>
    </row>
    <row r="17" spans="1:24" ht="12" customHeight="1">
      <c r="A17" s="58">
        <v>512501</v>
      </c>
      <c r="B17" s="59" t="s">
        <v>73</v>
      </c>
      <c r="C17" s="64">
        <v>0</v>
      </c>
      <c r="D17" s="64">
        <v>0</v>
      </c>
      <c r="E17" s="64">
        <v>0</v>
      </c>
      <c r="F17" s="64">
        <v>11770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f t="shared" si="0"/>
        <v>11770</v>
      </c>
      <c r="T17" s="64">
        <v>31575</v>
      </c>
      <c r="U17" s="65">
        <f t="shared" si="1"/>
        <v>-19805</v>
      </c>
      <c r="V17" s="62">
        <f t="shared" si="2"/>
        <v>-0.627236737925574</v>
      </c>
      <c r="W17" s="47"/>
      <c r="X17" s="46"/>
    </row>
    <row r="18" spans="1:24" ht="12" customHeight="1">
      <c r="A18" s="58">
        <v>512601</v>
      </c>
      <c r="B18" s="59" t="s">
        <v>74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123661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f t="shared" si="0"/>
        <v>123661</v>
      </c>
      <c r="T18" s="64">
        <v>127386</v>
      </c>
      <c r="U18" s="65">
        <f t="shared" si="1"/>
        <v>-3725</v>
      </c>
      <c r="V18" s="62">
        <f t="shared" si="2"/>
        <v>-0.02924183191245506</v>
      </c>
      <c r="W18" s="47"/>
      <c r="X18" s="46"/>
    </row>
    <row r="19" spans="1:24" ht="12" customHeight="1">
      <c r="A19" s="58">
        <v>512602</v>
      </c>
      <c r="B19" s="59" t="s">
        <v>75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f t="shared" si="0"/>
        <v>0</v>
      </c>
      <c r="T19" s="64">
        <v>3100000</v>
      </c>
      <c r="U19" s="65">
        <f t="shared" si="1"/>
        <v>-3100000</v>
      </c>
      <c r="V19" s="62">
        <f t="shared" si="2"/>
        <v>-1</v>
      </c>
      <c r="W19" s="47"/>
      <c r="X19" s="46"/>
    </row>
    <row r="20" spans="1:24" ht="12" customHeight="1">
      <c r="A20" s="58">
        <v>512701</v>
      </c>
      <c r="B20" s="59" t="s">
        <v>76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237285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f t="shared" si="0"/>
        <v>237285</v>
      </c>
      <c r="T20" s="64">
        <v>277761</v>
      </c>
      <c r="U20" s="65">
        <f t="shared" si="1"/>
        <v>-40476</v>
      </c>
      <c r="V20" s="62">
        <f t="shared" si="2"/>
        <v>-0.14572240163305863</v>
      </c>
      <c r="W20" s="47"/>
      <c r="X20" s="46"/>
    </row>
    <row r="21" spans="1:24" ht="12" customHeight="1">
      <c r="A21" s="58">
        <v>521101</v>
      </c>
      <c r="B21" s="59" t="s">
        <v>23</v>
      </c>
      <c r="C21" s="64">
        <v>2308</v>
      </c>
      <c r="D21" s="64">
        <v>2801</v>
      </c>
      <c r="E21" s="64">
        <v>51918</v>
      </c>
      <c r="F21" s="64">
        <v>3366</v>
      </c>
      <c r="G21" s="64">
        <v>298.64</v>
      </c>
      <c r="H21" s="64">
        <v>2300</v>
      </c>
      <c r="I21" s="64">
        <v>864.95</v>
      </c>
      <c r="J21" s="64">
        <v>8902.439999999999</v>
      </c>
      <c r="K21" s="64">
        <v>0</v>
      </c>
      <c r="L21" s="64">
        <v>0</v>
      </c>
      <c r="M21" s="64">
        <v>13494.315896372125</v>
      </c>
      <c r="N21" s="64">
        <v>0</v>
      </c>
      <c r="O21" s="64">
        <v>2737.84</v>
      </c>
      <c r="P21" s="64">
        <v>780</v>
      </c>
      <c r="Q21" s="64">
        <v>500</v>
      </c>
      <c r="R21" s="64">
        <v>1000</v>
      </c>
      <c r="S21" s="64">
        <f t="shared" si="0"/>
        <v>91271.18589637212</v>
      </c>
      <c r="T21" s="64">
        <v>132150</v>
      </c>
      <c r="U21" s="65">
        <f t="shared" si="1"/>
        <v>-40878.81410362788</v>
      </c>
      <c r="V21" s="62">
        <f t="shared" si="2"/>
        <v>-0.3093364669211342</v>
      </c>
      <c r="W21" s="47"/>
      <c r="X21" s="46"/>
    </row>
    <row r="22" spans="1:24" ht="12" customHeight="1">
      <c r="A22" s="58">
        <v>521201</v>
      </c>
      <c r="B22" s="59" t="s">
        <v>40</v>
      </c>
      <c r="C22" s="64">
        <v>710</v>
      </c>
      <c r="D22" s="64">
        <v>60000</v>
      </c>
      <c r="E22" s="64">
        <v>0</v>
      </c>
      <c r="F22" s="64">
        <v>107972</v>
      </c>
      <c r="G22" s="64">
        <v>49999.85</v>
      </c>
      <c r="H22" s="64">
        <v>0</v>
      </c>
      <c r="I22" s="64">
        <v>0</v>
      </c>
      <c r="J22" s="64">
        <v>1497949.87</v>
      </c>
      <c r="K22" s="64">
        <v>0</v>
      </c>
      <c r="L22" s="64">
        <v>388891.69</v>
      </c>
      <c r="M22" s="64">
        <v>10198732.349296387</v>
      </c>
      <c r="N22" s="64">
        <v>900000</v>
      </c>
      <c r="O22" s="64">
        <v>0</v>
      </c>
      <c r="P22" s="64">
        <v>60400</v>
      </c>
      <c r="Q22" s="64">
        <v>11500</v>
      </c>
      <c r="R22" s="64">
        <v>46459.510578110196</v>
      </c>
      <c r="S22" s="64">
        <f t="shared" si="0"/>
        <v>13322615.269874498</v>
      </c>
      <c r="T22" s="64">
        <v>17700564</v>
      </c>
      <c r="U22" s="65">
        <f t="shared" si="1"/>
        <v>-4377948.730125502</v>
      </c>
      <c r="V22" s="62">
        <f t="shared" si="2"/>
        <v>-0.24733385501871588</v>
      </c>
      <c r="W22" s="47"/>
      <c r="X22" s="46"/>
    </row>
    <row r="23" spans="1:24" ht="12" customHeight="1">
      <c r="A23" s="58">
        <v>521202</v>
      </c>
      <c r="B23" s="59" t="s">
        <v>41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2028181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f t="shared" si="0"/>
        <v>2028181</v>
      </c>
      <c r="T23" s="64">
        <v>2876669</v>
      </c>
      <c r="U23" s="65">
        <f t="shared" si="1"/>
        <v>-848488</v>
      </c>
      <c r="V23" s="62">
        <f t="shared" si="2"/>
        <v>-0.2949550330608075</v>
      </c>
      <c r="W23" s="47"/>
      <c r="X23" s="46"/>
    </row>
    <row r="24" spans="1:24" ht="12" customHeight="1">
      <c r="A24" s="58">
        <v>521203</v>
      </c>
      <c r="B24" s="59" t="s">
        <v>42</v>
      </c>
      <c r="C24" s="64">
        <v>0</v>
      </c>
      <c r="D24" s="64">
        <v>0</v>
      </c>
      <c r="E24" s="64">
        <v>0</v>
      </c>
      <c r="F24" s="64">
        <v>0</v>
      </c>
      <c r="G24" s="64">
        <v>289753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f t="shared" si="0"/>
        <v>289753</v>
      </c>
      <c r="T24" s="64">
        <v>392699</v>
      </c>
      <c r="U24" s="65">
        <f t="shared" si="1"/>
        <v>-102946</v>
      </c>
      <c r="V24" s="62">
        <f t="shared" si="2"/>
        <v>-0.26214989088334834</v>
      </c>
      <c r="W24" s="47"/>
      <c r="X24" s="46"/>
    </row>
    <row r="25" spans="1:24" ht="12" customHeight="1">
      <c r="A25" s="58">
        <v>521204</v>
      </c>
      <c r="B25" s="59" t="s">
        <v>43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469531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f t="shared" si="0"/>
        <v>469531</v>
      </c>
      <c r="T25" s="64">
        <v>485399</v>
      </c>
      <c r="U25" s="65">
        <f t="shared" si="1"/>
        <v>-15868</v>
      </c>
      <c r="V25" s="62">
        <f t="shared" si="2"/>
        <v>-0.032690631830720705</v>
      </c>
      <c r="W25" s="47"/>
      <c r="X25" s="46"/>
    </row>
    <row r="26" spans="1:24" ht="12" customHeight="1">
      <c r="A26" s="58">
        <v>521205</v>
      </c>
      <c r="B26" s="59" t="s">
        <v>85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91000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f t="shared" si="0"/>
        <v>91000</v>
      </c>
      <c r="T26" s="64">
        <v>91000</v>
      </c>
      <c r="U26" s="65">
        <f t="shared" si="1"/>
        <v>0</v>
      </c>
      <c r="V26" s="62">
        <f t="shared" si="2"/>
        <v>0</v>
      </c>
      <c r="W26" s="47"/>
      <c r="X26" s="46"/>
    </row>
    <row r="27" spans="1:24" ht="12" customHeight="1">
      <c r="A27" s="58">
        <v>521206</v>
      </c>
      <c r="B27" s="59" t="s">
        <v>86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f t="shared" si="0"/>
        <v>0</v>
      </c>
      <c r="T27" s="64">
        <v>1000000</v>
      </c>
      <c r="U27" s="65">
        <f t="shared" si="1"/>
        <v>-1000000</v>
      </c>
      <c r="V27" s="62">
        <f t="shared" si="2"/>
        <v>-1</v>
      </c>
      <c r="W27" s="47"/>
      <c r="X27" s="46"/>
    </row>
    <row r="28" spans="1:24" ht="12" customHeight="1">
      <c r="A28" s="58">
        <v>521207</v>
      </c>
      <c r="B28" s="59" t="s">
        <v>44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450000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850000</v>
      </c>
      <c r="S28" s="64">
        <f t="shared" si="0"/>
        <v>1300000</v>
      </c>
      <c r="T28" s="64">
        <v>1438199</v>
      </c>
      <c r="U28" s="65">
        <f t="shared" si="1"/>
        <v>-138199</v>
      </c>
      <c r="V28" s="62">
        <f t="shared" si="2"/>
        <v>-0.09609170914456205</v>
      </c>
      <c r="W28" s="47"/>
      <c r="X28" s="46"/>
    </row>
    <row r="29" spans="1:24" ht="12" customHeight="1">
      <c r="A29" s="58">
        <v>521208</v>
      </c>
      <c r="B29" s="59" t="s">
        <v>45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11691040.82</v>
      </c>
      <c r="S29" s="64">
        <f t="shared" si="0"/>
        <v>11691040.82</v>
      </c>
      <c r="T29" s="64">
        <v>12506855</v>
      </c>
      <c r="U29" s="65">
        <f t="shared" si="1"/>
        <v>-815814.1799999997</v>
      </c>
      <c r="V29" s="62">
        <f t="shared" si="2"/>
        <v>-0.06522936261754052</v>
      </c>
      <c r="W29" s="47"/>
      <c r="X29" s="46"/>
    </row>
    <row r="30" spans="1:24" ht="12" customHeight="1">
      <c r="A30" s="58">
        <v>521209</v>
      </c>
      <c r="B30" s="59" t="s">
        <v>46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50142.35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f t="shared" si="0"/>
        <v>50142.35</v>
      </c>
      <c r="T30" s="64">
        <v>54627</v>
      </c>
      <c r="U30" s="65">
        <f t="shared" si="1"/>
        <v>-4484.6500000000015</v>
      </c>
      <c r="V30" s="62">
        <f t="shared" si="2"/>
        <v>-0.08209585003752726</v>
      </c>
      <c r="W30" s="47"/>
      <c r="X30" s="46"/>
    </row>
    <row r="31" spans="1:24" ht="12" customHeight="1">
      <c r="A31" s="58">
        <v>521212</v>
      </c>
      <c r="B31" s="59" t="s">
        <v>47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6436669.198765321</v>
      </c>
      <c r="O31" s="64">
        <v>26981040.14</v>
      </c>
      <c r="P31" s="64">
        <v>0</v>
      </c>
      <c r="Q31" s="64">
        <v>0</v>
      </c>
      <c r="R31" s="64">
        <v>51541.520000000004</v>
      </c>
      <c r="S31" s="64">
        <f t="shared" si="0"/>
        <v>33469250.858765323</v>
      </c>
      <c r="T31" s="64">
        <v>34821184</v>
      </c>
      <c r="U31" s="65">
        <f t="shared" si="1"/>
        <v>-1351933.1412346773</v>
      </c>
      <c r="V31" s="62">
        <f t="shared" si="2"/>
        <v>-0.03882501931108021</v>
      </c>
      <c r="W31" s="47"/>
      <c r="X31" s="46"/>
    </row>
    <row r="32" spans="1:24" ht="12" customHeight="1">
      <c r="A32" s="58">
        <v>521213</v>
      </c>
      <c r="B32" s="59" t="s">
        <v>87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14104531</v>
      </c>
      <c r="R32" s="64">
        <v>0</v>
      </c>
      <c r="S32" s="64">
        <f t="shared" si="0"/>
        <v>14104531</v>
      </c>
      <c r="T32" s="64">
        <v>33417325</v>
      </c>
      <c r="U32" s="65">
        <f t="shared" si="1"/>
        <v>-19312794</v>
      </c>
      <c r="V32" s="62">
        <f t="shared" si="2"/>
        <v>-0.5779275869627506</v>
      </c>
      <c r="W32" s="47"/>
      <c r="X32" s="46"/>
    </row>
    <row r="33" spans="1:24" ht="12" customHeight="1">
      <c r="A33" s="58">
        <v>521301</v>
      </c>
      <c r="B33" s="59" t="s">
        <v>88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8339000</v>
      </c>
      <c r="O33" s="64">
        <v>337000.49</v>
      </c>
      <c r="P33" s="64">
        <v>0</v>
      </c>
      <c r="Q33" s="64">
        <v>1891684</v>
      </c>
      <c r="R33" s="64">
        <v>0</v>
      </c>
      <c r="S33" s="64">
        <f t="shared" si="0"/>
        <v>10567684.49</v>
      </c>
      <c r="T33" s="64">
        <v>13952039</v>
      </c>
      <c r="U33" s="65">
        <f t="shared" si="1"/>
        <v>-3384354.51</v>
      </c>
      <c r="V33" s="62">
        <f t="shared" si="2"/>
        <v>-0.2425706027627933</v>
      </c>
      <c r="W33" s="47"/>
      <c r="X33" s="46"/>
    </row>
    <row r="34" spans="1:24" ht="12" customHeight="1">
      <c r="A34" s="58">
        <v>522202</v>
      </c>
      <c r="B34" s="59" t="s">
        <v>49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591500.26</v>
      </c>
      <c r="P34" s="64">
        <v>0</v>
      </c>
      <c r="Q34" s="64">
        <v>0</v>
      </c>
      <c r="R34" s="64">
        <v>0</v>
      </c>
      <c r="S34" s="64">
        <f t="shared" si="0"/>
        <v>591500.26</v>
      </c>
      <c r="T34" s="64">
        <v>631500</v>
      </c>
      <c r="U34" s="65">
        <f t="shared" si="1"/>
        <v>-39999.73999999999</v>
      </c>
      <c r="V34" s="62">
        <f t="shared" si="2"/>
        <v>-0.0633408392715756</v>
      </c>
      <c r="W34" s="47"/>
      <c r="X34" s="46"/>
    </row>
    <row r="35" spans="1:24" ht="12" customHeight="1">
      <c r="A35" s="58">
        <v>522203</v>
      </c>
      <c r="B35" s="59" t="s">
        <v>89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6136050</v>
      </c>
      <c r="R35" s="64">
        <v>0</v>
      </c>
      <c r="S35" s="64">
        <f t="shared" si="0"/>
        <v>6136050</v>
      </c>
      <c r="T35" s="64">
        <v>5661100</v>
      </c>
      <c r="U35" s="65">
        <f t="shared" si="1"/>
        <v>474950</v>
      </c>
      <c r="V35" s="62">
        <f t="shared" si="2"/>
        <v>0.083897122467365</v>
      </c>
      <c r="W35" s="47"/>
      <c r="X35" s="46"/>
    </row>
    <row r="36" spans="1:24" ht="12" customHeight="1">
      <c r="A36" s="58">
        <v>522204</v>
      </c>
      <c r="B36" s="59" t="s">
        <v>90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5099150</v>
      </c>
      <c r="R36" s="64">
        <v>0</v>
      </c>
      <c r="S36" s="64">
        <f t="shared" si="0"/>
        <v>5099150</v>
      </c>
      <c r="T36" s="64">
        <v>5690800</v>
      </c>
      <c r="U36" s="65">
        <f t="shared" si="1"/>
        <v>-591650</v>
      </c>
      <c r="V36" s="62">
        <f t="shared" si="2"/>
        <v>-0.1039660504674211</v>
      </c>
      <c r="W36" s="47"/>
      <c r="X36" s="46"/>
    </row>
    <row r="37" spans="1:24" ht="12" customHeight="1">
      <c r="A37" s="58">
        <v>522205</v>
      </c>
      <c r="B37" s="59" t="s">
        <v>91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9566300</v>
      </c>
      <c r="R37" s="64">
        <v>0</v>
      </c>
      <c r="S37" s="64">
        <f t="shared" si="0"/>
        <v>9566300</v>
      </c>
      <c r="T37" s="64">
        <v>8494100</v>
      </c>
      <c r="U37" s="65">
        <f t="shared" si="1"/>
        <v>1072200</v>
      </c>
      <c r="V37" s="62">
        <f t="shared" si="2"/>
        <v>0.12622879410414287</v>
      </c>
      <c r="W37" s="47"/>
      <c r="X37" s="46"/>
    </row>
    <row r="38" spans="1:24" ht="12" customHeight="1">
      <c r="A38" s="58">
        <v>522206</v>
      </c>
      <c r="B38" s="59" t="s">
        <v>92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1650000</v>
      </c>
      <c r="R38" s="64">
        <v>0</v>
      </c>
      <c r="S38" s="64">
        <f t="shared" si="0"/>
        <v>1650000</v>
      </c>
      <c r="T38" s="64">
        <v>2735000</v>
      </c>
      <c r="U38" s="65">
        <f t="shared" si="1"/>
        <v>-1085000</v>
      </c>
      <c r="V38" s="62">
        <f t="shared" si="2"/>
        <v>-0.396709323583181</v>
      </c>
      <c r="W38" s="47"/>
      <c r="X38" s="46"/>
    </row>
    <row r="39" spans="1:24" ht="12" customHeight="1">
      <c r="A39" s="58">
        <v>522301</v>
      </c>
      <c r="B39" s="59" t="s">
        <v>50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423151.1</v>
      </c>
      <c r="P39" s="64">
        <v>0</v>
      </c>
      <c r="Q39" s="64">
        <v>0</v>
      </c>
      <c r="R39" s="64">
        <v>0</v>
      </c>
      <c r="S39" s="64">
        <f t="shared" si="0"/>
        <v>423151.1</v>
      </c>
      <c r="T39" s="64">
        <v>423151</v>
      </c>
      <c r="U39" s="65">
        <f t="shared" si="1"/>
        <v>0.09999999997671694</v>
      </c>
      <c r="V39" s="62">
        <f t="shared" si="2"/>
        <v>2.363222584295368E-07</v>
      </c>
      <c r="W39" s="47"/>
      <c r="X39" s="46"/>
    </row>
    <row r="40" spans="1:24" ht="12" customHeight="1">
      <c r="A40" s="58">
        <v>522302</v>
      </c>
      <c r="B40" s="59" t="s">
        <v>51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30821.79</v>
      </c>
      <c r="N40" s="64">
        <v>0</v>
      </c>
      <c r="O40" s="64">
        <v>50800.27</v>
      </c>
      <c r="P40" s="64">
        <v>0</v>
      </c>
      <c r="Q40" s="64">
        <v>0</v>
      </c>
      <c r="R40" s="64">
        <v>0</v>
      </c>
      <c r="S40" s="64">
        <f t="shared" si="0"/>
        <v>81622.06</v>
      </c>
      <c r="T40" s="64">
        <v>146172</v>
      </c>
      <c r="U40" s="65">
        <f t="shared" si="1"/>
        <v>-64549.94</v>
      </c>
      <c r="V40" s="62">
        <f t="shared" si="2"/>
        <v>-0.44160263251511916</v>
      </c>
      <c r="W40" s="47"/>
      <c r="X40" s="46"/>
    </row>
    <row r="41" spans="1:24" ht="12" customHeight="1">
      <c r="A41" s="58">
        <v>523101</v>
      </c>
      <c r="B41" s="59" t="s">
        <v>24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3123454.96</v>
      </c>
      <c r="S41" s="64">
        <f t="shared" si="0"/>
        <v>3123454.96</v>
      </c>
      <c r="T41" s="64">
        <v>3284370</v>
      </c>
      <c r="U41" s="65">
        <f t="shared" si="1"/>
        <v>-160915.04000000004</v>
      </c>
      <c r="V41" s="62">
        <f t="shared" si="2"/>
        <v>-0.04899418762197926</v>
      </c>
      <c r="W41" s="47"/>
      <c r="X41" s="46"/>
    </row>
    <row r="42" spans="1:24" ht="12" customHeight="1">
      <c r="A42" s="58">
        <v>523201</v>
      </c>
      <c r="B42" s="59" t="s">
        <v>60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9905044.852501629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f t="shared" si="0"/>
        <v>9905044.852501629</v>
      </c>
      <c r="T42" s="64">
        <v>11067560</v>
      </c>
      <c r="U42" s="65">
        <f t="shared" si="1"/>
        <v>-1162515.147498371</v>
      </c>
      <c r="V42" s="62">
        <f t="shared" si="2"/>
        <v>-0.1050380704959694</v>
      </c>
      <c r="W42" s="47"/>
      <c r="X42" s="46"/>
    </row>
    <row r="43" spans="1:24" ht="12" customHeight="1">
      <c r="A43" s="58">
        <v>523202</v>
      </c>
      <c r="B43" s="59" t="s">
        <v>61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1200699.5561684263</v>
      </c>
      <c r="O43" s="64">
        <v>279352</v>
      </c>
      <c r="P43" s="64">
        <v>0</v>
      </c>
      <c r="Q43" s="64">
        <v>0</v>
      </c>
      <c r="R43" s="64">
        <v>0</v>
      </c>
      <c r="S43" s="64">
        <f aca="true" t="shared" si="3" ref="S43:S74">SUM(C43:R43)</f>
        <v>1480051.5561684263</v>
      </c>
      <c r="T43" s="64">
        <v>1321900</v>
      </c>
      <c r="U43" s="65">
        <f t="shared" si="1"/>
        <v>158151.5561684263</v>
      </c>
      <c r="V43" s="62">
        <f t="shared" si="2"/>
        <v>0.11963957649476231</v>
      </c>
      <c r="W43" s="47"/>
      <c r="X43" s="46"/>
    </row>
    <row r="44" spans="1:24" ht="12" customHeight="1">
      <c r="A44" s="58">
        <v>523203</v>
      </c>
      <c r="B44" s="59" t="s">
        <v>34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44369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f t="shared" si="3"/>
        <v>44369</v>
      </c>
      <c r="T44" s="64">
        <v>59000</v>
      </c>
      <c r="U44" s="65">
        <f t="shared" si="1"/>
        <v>-14631</v>
      </c>
      <c r="V44" s="62">
        <f t="shared" si="2"/>
        <v>-0.24798305084745761</v>
      </c>
      <c r="W44" s="47"/>
      <c r="X44" s="46"/>
    </row>
    <row r="45" spans="1:24" ht="12" customHeight="1">
      <c r="A45" s="58">
        <v>523301</v>
      </c>
      <c r="B45" s="59" t="s">
        <v>25</v>
      </c>
      <c r="C45" s="64">
        <v>0</v>
      </c>
      <c r="D45" s="64">
        <v>0</v>
      </c>
      <c r="E45" s="64">
        <v>0</v>
      </c>
      <c r="F45" s="64">
        <v>30626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f t="shared" si="3"/>
        <v>30626</v>
      </c>
      <c r="T45" s="64">
        <v>157820</v>
      </c>
      <c r="U45" s="65">
        <f t="shared" si="1"/>
        <v>-127194</v>
      </c>
      <c r="V45" s="62">
        <f t="shared" si="2"/>
        <v>-0.8059434799138259</v>
      </c>
      <c r="W45" s="47"/>
      <c r="X45" s="46"/>
    </row>
    <row r="46" spans="1:24" ht="12" customHeight="1">
      <c r="A46" s="58">
        <v>523302</v>
      </c>
      <c r="B46" s="59" t="s">
        <v>35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1368781.56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f t="shared" si="3"/>
        <v>1368781.56</v>
      </c>
      <c r="T46" s="64">
        <v>1676601</v>
      </c>
      <c r="U46" s="65">
        <f t="shared" si="1"/>
        <v>-307819.43999999994</v>
      </c>
      <c r="V46" s="62">
        <f t="shared" si="2"/>
        <v>-0.18359731385105935</v>
      </c>
      <c r="W46" s="47"/>
      <c r="X46" s="46"/>
    </row>
    <row r="47" spans="1:24" ht="12" customHeight="1">
      <c r="A47" s="58">
        <v>523303</v>
      </c>
      <c r="B47" s="59" t="s">
        <v>36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950499.42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f t="shared" si="3"/>
        <v>950499.42</v>
      </c>
      <c r="T47" s="64">
        <v>1269697</v>
      </c>
      <c r="U47" s="65">
        <f t="shared" si="1"/>
        <v>-319197.57999999996</v>
      </c>
      <c r="V47" s="62">
        <f t="shared" si="2"/>
        <v>-0.25139665605258577</v>
      </c>
      <c r="W47" s="47"/>
      <c r="X47" s="46"/>
    </row>
    <row r="48" spans="1:24" ht="12" customHeight="1">
      <c r="A48" s="58">
        <v>523304</v>
      </c>
      <c r="B48" s="59" t="s">
        <v>37</v>
      </c>
      <c r="C48" s="64">
        <v>164</v>
      </c>
      <c r="D48" s="64">
        <v>7675</v>
      </c>
      <c r="E48" s="64">
        <v>0</v>
      </c>
      <c r="F48" s="64">
        <v>34847</v>
      </c>
      <c r="G48" s="64">
        <v>0</v>
      </c>
      <c r="H48" s="64">
        <v>0</v>
      </c>
      <c r="I48" s="64">
        <v>83973.12</v>
      </c>
      <c r="J48" s="64">
        <v>1039710.86</v>
      </c>
      <c r="K48" s="64">
        <v>0</v>
      </c>
      <c r="L48" s="64">
        <v>0</v>
      </c>
      <c r="M48" s="64">
        <v>213477.66604922325</v>
      </c>
      <c r="N48" s="64">
        <v>0</v>
      </c>
      <c r="O48" s="64">
        <v>0</v>
      </c>
      <c r="P48" s="64">
        <v>0</v>
      </c>
      <c r="Q48" s="64">
        <v>0</v>
      </c>
      <c r="R48" s="64">
        <v>5080.3</v>
      </c>
      <c r="S48" s="64">
        <f t="shared" si="3"/>
        <v>1384927.9460492232</v>
      </c>
      <c r="T48" s="64">
        <v>1782380</v>
      </c>
      <c r="U48" s="65">
        <f t="shared" si="1"/>
        <v>-397452.0539507768</v>
      </c>
      <c r="V48" s="62">
        <f t="shared" si="2"/>
        <v>-0.22298951623715302</v>
      </c>
      <c r="W48" s="47"/>
      <c r="X48" s="46"/>
    </row>
    <row r="49" spans="1:24" ht="12" customHeight="1">
      <c r="A49" s="58">
        <v>523305</v>
      </c>
      <c r="B49" s="59" t="s">
        <v>26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355.59999999999997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f t="shared" si="3"/>
        <v>355.59999999999997</v>
      </c>
      <c r="T49" s="64">
        <v>1752</v>
      </c>
      <c r="U49" s="65">
        <f t="shared" si="1"/>
        <v>-1396.4</v>
      </c>
      <c r="V49" s="62">
        <f t="shared" si="2"/>
        <v>-0.7970319634703197</v>
      </c>
      <c r="W49" s="47"/>
      <c r="X49" s="46"/>
    </row>
    <row r="50" spans="1:24" ht="12" customHeight="1">
      <c r="A50" s="58">
        <v>523401</v>
      </c>
      <c r="B50" s="59" t="s">
        <v>38</v>
      </c>
      <c r="C50" s="64">
        <v>2900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30798.02</v>
      </c>
      <c r="K50" s="64">
        <v>0</v>
      </c>
      <c r="L50" s="64">
        <v>0</v>
      </c>
      <c r="M50" s="64">
        <v>84649.33779101193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f t="shared" si="3"/>
        <v>118347.35779101193</v>
      </c>
      <c r="T50" s="64">
        <v>158569</v>
      </c>
      <c r="U50" s="65">
        <f t="shared" si="1"/>
        <v>-40221.642208988065</v>
      </c>
      <c r="V50" s="62">
        <f t="shared" si="2"/>
        <v>-0.25365388070170125</v>
      </c>
      <c r="W50" s="47"/>
      <c r="X50" s="46"/>
    </row>
    <row r="51" spans="1:24" ht="12" customHeight="1">
      <c r="A51" s="58">
        <v>523402</v>
      </c>
      <c r="B51" s="59" t="s">
        <v>39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22891.78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f t="shared" si="3"/>
        <v>22891.78</v>
      </c>
      <c r="T51" s="64">
        <v>46960</v>
      </c>
      <c r="U51" s="65">
        <f t="shared" si="1"/>
        <v>-24068.22</v>
      </c>
      <c r="V51" s="62">
        <f t="shared" si="2"/>
        <v>-0.5125259795570699</v>
      </c>
      <c r="W51" s="47"/>
      <c r="X51" s="46"/>
    </row>
    <row r="52" spans="1:24" ht="12" customHeight="1">
      <c r="A52" s="58">
        <v>523501</v>
      </c>
      <c r="B52" s="59" t="s">
        <v>27</v>
      </c>
      <c r="C52" s="64">
        <v>5826</v>
      </c>
      <c r="D52" s="64">
        <v>4901.68</v>
      </c>
      <c r="E52" s="64">
        <v>4926</v>
      </c>
      <c r="F52" s="64">
        <v>0</v>
      </c>
      <c r="G52" s="64">
        <v>153.63</v>
      </c>
      <c r="H52" s="64">
        <v>2804</v>
      </c>
      <c r="I52" s="64">
        <v>4001.8599999999997</v>
      </c>
      <c r="J52" s="64">
        <v>954.31</v>
      </c>
      <c r="K52" s="64">
        <v>0</v>
      </c>
      <c r="L52" s="64">
        <v>1633.21</v>
      </c>
      <c r="M52" s="64">
        <v>3934.75</v>
      </c>
      <c r="N52" s="64">
        <v>4900</v>
      </c>
      <c r="O52" s="64">
        <v>2200.03</v>
      </c>
      <c r="P52" s="64">
        <v>1984</v>
      </c>
      <c r="Q52" s="64">
        <v>2285</v>
      </c>
      <c r="R52" s="64">
        <v>3183.379183041999</v>
      </c>
      <c r="S52" s="64">
        <f t="shared" si="3"/>
        <v>43687.849183042</v>
      </c>
      <c r="T52" s="64">
        <v>246737</v>
      </c>
      <c r="U52" s="65">
        <f t="shared" si="1"/>
        <v>-203049.150816958</v>
      </c>
      <c r="V52" s="62">
        <f t="shared" si="2"/>
        <v>-0.8229375846223225</v>
      </c>
      <c r="W52" s="47"/>
      <c r="X52" s="46"/>
    </row>
    <row r="53" spans="1:24" ht="12" customHeight="1">
      <c r="A53" s="58">
        <v>523601</v>
      </c>
      <c r="B53" s="59" t="s">
        <v>28</v>
      </c>
      <c r="C53" s="64">
        <v>4562</v>
      </c>
      <c r="D53" s="64">
        <v>60000</v>
      </c>
      <c r="E53" s="64">
        <v>9500</v>
      </c>
      <c r="F53" s="64">
        <v>2366</v>
      </c>
      <c r="G53" s="64">
        <v>3570.83</v>
      </c>
      <c r="H53" s="64">
        <v>77111</v>
      </c>
      <c r="I53" s="64">
        <v>58802</v>
      </c>
      <c r="J53" s="64">
        <v>10077.39</v>
      </c>
      <c r="K53" s="64">
        <v>1562</v>
      </c>
      <c r="L53" s="64">
        <v>475</v>
      </c>
      <c r="M53" s="64">
        <v>2284</v>
      </c>
      <c r="N53" s="64">
        <v>6000</v>
      </c>
      <c r="O53" s="64">
        <v>25214.28</v>
      </c>
      <c r="P53" s="64">
        <v>9000</v>
      </c>
      <c r="Q53" s="64">
        <v>1157</v>
      </c>
      <c r="R53" s="64">
        <v>3691</v>
      </c>
      <c r="S53" s="64">
        <f t="shared" si="3"/>
        <v>275372.5</v>
      </c>
      <c r="T53" s="64">
        <v>355576</v>
      </c>
      <c r="U53" s="65">
        <f t="shared" si="1"/>
        <v>-80203.5</v>
      </c>
      <c r="V53" s="62">
        <f t="shared" si="2"/>
        <v>-0.22555937408599006</v>
      </c>
      <c r="W53" s="47"/>
      <c r="X53" s="46"/>
    </row>
    <row r="54" spans="1:24" ht="12" customHeight="1">
      <c r="A54" s="58">
        <v>523701</v>
      </c>
      <c r="B54" s="59" t="s">
        <v>62</v>
      </c>
      <c r="C54" s="64">
        <v>3823</v>
      </c>
      <c r="D54" s="64">
        <v>2628</v>
      </c>
      <c r="E54" s="64">
        <v>0</v>
      </c>
      <c r="F54" s="64">
        <v>20159</v>
      </c>
      <c r="G54" s="64">
        <v>4149.6</v>
      </c>
      <c r="H54" s="64">
        <v>3423</v>
      </c>
      <c r="I54" s="64">
        <v>7121</v>
      </c>
      <c r="J54" s="64">
        <v>1453.73</v>
      </c>
      <c r="K54" s="64">
        <v>0</v>
      </c>
      <c r="L54" s="64">
        <v>1821</v>
      </c>
      <c r="M54" s="64">
        <v>24537.39</v>
      </c>
      <c r="N54" s="64">
        <v>41500</v>
      </c>
      <c r="O54" s="64">
        <v>22529.06</v>
      </c>
      <c r="P54" s="64">
        <v>709</v>
      </c>
      <c r="Q54" s="64">
        <v>5486</v>
      </c>
      <c r="R54" s="64">
        <v>22472.663466660797</v>
      </c>
      <c r="S54" s="64">
        <f t="shared" si="3"/>
        <v>161812.4434666608</v>
      </c>
      <c r="T54" s="64">
        <v>373530</v>
      </c>
      <c r="U54" s="65">
        <f t="shared" si="1"/>
        <v>-211717.5565333392</v>
      </c>
      <c r="V54" s="62">
        <f t="shared" si="2"/>
        <v>-0.566802014653011</v>
      </c>
      <c r="W54" s="47"/>
      <c r="X54" s="46"/>
    </row>
    <row r="55" spans="1:24" ht="12" customHeight="1">
      <c r="A55" s="58">
        <v>523801</v>
      </c>
      <c r="B55" s="59" t="s">
        <v>52</v>
      </c>
      <c r="C55" s="64">
        <v>644</v>
      </c>
      <c r="D55" s="64">
        <v>0</v>
      </c>
      <c r="E55" s="64">
        <v>0</v>
      </c>
      <c r="F55" s="64">
        <v>0</v>
      </c>
      <c r="G55" s="64">
        <v>890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6344.01</v>
      </c>
      <c r="P55" s="64">
        <v>0</v>
      </c>
      <c r="Q55" s="64">
        <v>667</v>
      </c>
      <c r="R55" s="64">
        <v>0</v>
      </c>
      <c r="S55" s="64">
        <f t="shared" si="3"/>
        <v>8545.01</v>
      </c>
      <c r="T55" s="64">
        <v>29502</v>
      </c>
      <c r="U55" s="65">
        <f t="shared" si="1"/>
        <v>-20956.989999999998</v>
      </c>
      <c r="V55" s="62">
        <f t="shared" si="2"/>
        <v>-0.7103582807945223</v>
      </c>
      <c r="W55" s="47"/>
      <c r="X55" s="46"/>
    </row>
    <row r="56" spans="1:24" ht="12" customHeight="1">
      <c r="A56" s="58">
        <v>523851</v>
      </c>
      <c r="B56" s="59" t="s">
        <v>48</v>
      </c>
      <c r="C56" s="64">
        <v>0</v>
      </c>
      <c r="D56" s="64">
        <v>0</v>
      </c>
      <c r="E56" s="64">
        <v>0</v>
      </c>
      <c r="F56" s="64">
        <v>6366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10428170.810501449</v>
      </c>
      <c r="N56" s="64">
        <v>85999.5326712421</v>
      </c>
      <c r="O56" s="64">
        <v>77055.70999999999</v>
      </c>
      <c r="P56" s="64">
        <v>0</v>
      </c>
      <c r="Q56" s="64">
        <v>0</v>
      </c>
      <c r="R56" s="64">
        <v>0</v>
      </c>
      <c r="S56" s="64">
        <f t="shared" si="3"/>
        <v>10597592.053172693</v>
      </c>
      <c r="T56" s="64">
        <v>15217898</v>
      </c>
      <c r="U56" s="65">
        <f t="shared" si="1"/>
        <v>-4620305.946827307</v>
      </c>
      <c r="V56" s="62">
        <f t="shared" si="2"/>
        <v>-0.3036099957318223</v>
      </c>
      <c r="W56" s="47"/>
      <c r="X56" s="46"/>
    </row>
    <row r="57" spans="1:24" ht="12" customHeight="1">
      <c r="A57" s="58">
        <v>523902</v>
      </c>
      <c r="B57" s="59" t="s">
        <v>29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6182.219999999999</v>
      </c>
      <c r="S57" s="64">
        <f t="shared" si="3"/>
        <v>6182.219999999999</v>
      </c>
      <c r="T57" s="64">
        <v>6182</v>
      </c>
      <c r="U57" s="65">
        <f t="shared" si="1"/>
        <v>0.21999999999934516</v>
      </c>
      <c r="V57" s="62">
        <f t="shared" si="2"/>
        <v>3.5587188611993716E-05</v>
      </c>
      <c r="W57" s="47"/>
      <c r="X57" s="46"/>
    </row>
    <row r="58" spans="1:24" ht="12" customHeight="1">
      <c r="A58" s="58">
        <v>531101</v>
      </c>
      <c r="B58" s="59" t="s">
        <v>30</v>
      </c>
      <c r="C58" s="64">
        <v>5442</v>
      </c>
      <c r="D58" s="64">
        <v>400</v>
      </c>
      <c r="E58" s="64">
        <v>2020</v>
      </c>
      <c r="F58" s="64">
        <v>4963</v>
      </c>
      <c r="G58" s="64">
        <v>769.94</v>
      </c>
      <c r="H58" s="64">
        <v>27256</v>
      </c>
      <c r="I58" s="64">
        <v>4919.73</v>
      </c>
      <c r="J58" s="64">
        <v>5583.4</v>
      </c>
      <c r="K58" s="64">
        <v>246075.5214528415</v>
      </c>
      <c r="L58" s="64">
        <v>882.77</v>
      </c>
      <c r="M58" s="64">
        <v>40810.6</v>
      </c>
      <c r="N58" s="64">
        <v>112200</v>
      </c>
      <c r="O58" s="64">
        <v>14657.380000000001</v>
      </c>
      <c r="P58" s="64">
        <v>47126</v>
      </c>
      <c r="Q58" s="64">
        <v>2041</v>
      </c>
      <c r="R58" s="64">
        <v>9853.39</v>
      </c>
      <c r="S58" s="64">
        <f t="shared" si="3"/>
        <v>525000.7314528414</v>
      </c>
      <c r="T58" s="64">
        <v>661734</v>
      </c>
      <c r="U58" s="65">
        <f t="shared" si="1"/>
        <v>-136733.26854715857</v>
      </c>
      <c r="V58" s="62">
        <f t="shared" si="2"/>
        <v>-0.20662874893410127</v>
      </c>
      <c r="W58" s="47"/>
      <c r="X58" s="46"/>
    </row>
    <row r="59" spans="1:24" ht="12" customHeight="1">
      <c r="A59" s="58">
        <v>531102</v>
      </c>
      <c r="B59" s="59" t="s">
        <v>53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947.85</v>
      </c>
      <c r="K59" s="64">
        <v>0</v>
      </c>
      <c r="L59" s="64">
        <v>0</v>
      </c>
      <c r="M59" s="64">
        <v>0</v>
      </c>
      <c r="N59" s="64">
        <v>218000</v>
      </c>
      <c r="O59" s="64">
        <v>1841712.38</v>
      </c>
      <c r="P59" s="64">
        <v>0</v>
      </c>
      <c r="Q59" s="64">
        <v>0</v>
      </c>
      <c r="R59" s="64">
        <v>117807.92</v>
      </c>
      <c r="S59" s="64">
        <f t="shared" si="3"/>
        <v>2178468.15</v>
      </c>
      <c r="T59" s="64">
        <v>2292277</v>
      </c>
      <c r="U59" s="65">
        <f t="shared" si="1"/>
        <v>-113808.8500000001</v>
      </c>
      <c r="V59" s="62">
        <f t="shared" si="2"/>
        <v>-0.04964882080132554</v>
      </c>
      <c r="W59" s="47"/>
      <c r="X59" s="46"/>
    </row>
    <row r="60" spans="1:24" ht="12" customHeight="1">
      <c r="A60" s="58">
        <v>531103</v>
      </c>
      <c r="B60" s="59" t="s">
        <v>63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812200</v>
      </c>
      <c r="P60" s="64">
        <v>0</v>
      </c>
      <c r="Q60" s="64">
        <v>0</v>
      </c>
      <c r="R60" s="64">
        <v>0</v>
      </c>
      <c r="S60" s="64">
        <f t="shared" si="3"/>
        <v>812200</v>
      </c>
      <c r="T60" s="64">
        <v>909425</v>
      </c>
      <c r="U60" s="65">
        <f t="shared" si="1"/>
        <v>-97225</v>
      </c>
      <c r="V60" s="62">
        <f t="shared" si="2"/>
        <v>-0.1069082112323721</v>
      </c>
      <c r="W60" s="47"/>
      <c r="X60" s="46"/>
    </row>
    <row r="61" spans="1:24" ht="12" customHeight="1">
      <c r="A61" s="58">
        <v>531105</v>
      </c>
      <c r="B61" s="59" t="s">
        <v>31</v>
      </c>
      <c r="C61" s="64">
        <v>420</v>
      </c>
      <c r="D61" s="64">
        <v>58.05</v>
      </c>
      <c r="E61" s="64">
        <v>1256.54</v>
      </c>
      <c r="F61" s="64">
        <v>483</v>
      </c>
      <c r="G61" s="64">
        <v>0</v>
      </c>
      <c r="H61" s="64">
        <v>472</v>
      </c>
      <c r="I61" s="64">
        <v>90</v>
      </c>
      <c r="J61" s="64">
        <v>332</v>
      </c>
      <c r="K61" s="64">
        <v>0</v>
      </c>
      <c r="L61" s="64">
        <v>233.27</v>
      </c>
      <c r="M61" s="64">
        <v>1097.3000000000009</v>
      </c>
      <c r="N61" s="64">
        <v>0</v>
      </c>
      <c r="O61" s="64">
        <v>283.39</v>
      </c>
      <c r="P61" s="64">
        <v>215</v>
      </c>
      <c r="Q61" s="64">
        <v>407</v>
      </c>
      <c r="R61" s="64">
        <v>105.35</v>
      </c>
      <c r="S61" s="64">
        <f t="shared" si="3"/>
        <v>5452.9000000000015</v>
      </c>
      <c r="T61" s="64">
        <v>7112</v>
      </c>
      <c r="U61" s="65">
        <f t="shared" si="1"/>
        <v>-1659.0999999999985</v>
      </c>
      <c r="V61" s="62">
        <f t="shared" si="2"/>
        <v>-0.23328177727784005</v>
      </c>
      <c r="W61" s="47"/>
      <c r="X61" s="46"/>
    </row>
    <row r="62" spans="1:24" ht="12" customHeight="1">
      <c r="A62" s="58">
        <v>531106</v>
      </c>
      <c r="B62" s="59" t="s">
        <v>93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719500</v>
      </c>
      <c r="O62" s="64">
        <v>0</v>
      </c>
      <c r="P62" s="64">
        <v>0</v>
      </c>
      <c r="Q62" s="64">
        <v>0</v>
      </c>
      <c r="R62" s="64">
        <v>0</v>
      </c>
      <c r="S62" s="64">
        <f t="shared" si="3"/>
        <v>719500</v>
      </c>
      <c r="T62" s="64">
        <v>2308500</v>
      </c>
      <c r="U62" s="65">
        <f t="shared" si="1"/>
        <v>-1589000</v>
      </c>
      <c r="V62" s="62">
        <f t="shared" si="2"/>
        <v>-0.688325752653238</v>
      </c>
      <c r="W62" s="47"/>
      <c r="X62" s="46"/>
    </row>
    <row r="63" spans="1:24" ht="12" customHeight="1">
      <c r="A63" s="58">
        <v>531107</v>
      </c>
      <c r="B63" s="59" t="s">
        <v>54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963677.69</v>
      </c>
      <c r="P63" s="64">
        <v>0</v>
      </c>
      <c r="Q63" s="64">
        <v>0</v>
      </c>
      <c r="R63" s="64">
        <v>0</v>
      </c>
      <c r="S63" s="64">
        <f t="shared" si="3"/>
        <v>963677.69</v>
      </c>
      <c r="T63" s="64">
        <v>1023309</v>
      </c>
      <c r="U63" s="65">
        <f t="shared" si="1"/>
        <v>-59631.310000000056</v>
      </c>
      <c r="V63" s="62">
        <f t="shared" si="2"/>
        <v>-0.058273024081680176</v>
      </c>
      <c r="W63" s="47"/>
      <c r="X63" s="46"/>
    </row>
    <row r="64" spans="1:24" ht="12" customHeight="1">
      <c r="A64" s="58">
        <v>531211</v>
      </c>
      <c r="B64" s="59" t="s">
        <v>55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883695.91</v>
      </c>
      <c r="P64" s="64">
        <v>0</v>
      </c>
      <c r="Q64" s="64">
        <v>0</v>
      </c>
      <c r="R64" s="64">
        <v>0</v>
      </c>
      <c r="S64" s="64">
        <f t="shared" si="3"/>
        <v>883695.91</v>
      </c>
      <c r="T64" s="64">
        <v>850000</v>
      </c>
      <c r="U64" s="65">
        <f t="shared" si="1"/>
        <v>33695.91000000003</v>
      </c>
      <c r="V64" s="62">
        <f t="shared" si="2"/>
        <v>0.03964224705882357</v>
      </c>
      <c r="W64" s="47"/>
      <c r="X64" s="46"/>
    </row>
    <row r="65" spans="1:24" ht="12" customHeight="1">
      <c r="A65" s="58">
        <v>531221</v>
      </c>
      <c r="B65" s="59" t="s">
        <v>56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29107.94</v>
      </c>
      <c r="P65" s="64">
        <v>0</v>
      </c>
      <c r="Q65" s="64">
        <v>0</v>
      </c>
      <c r="R65" s="64">
        <v>0</v>
      </c>
      <c r="S65" s="64">
        <f t="shared" si="3"/>
        <v>29107.94</v>
      </c>
      <c r="T65" s="64">
        <v>50600</v>
      </c>
      <c r="U65" s="65">
        <f t="shared" si="1"/>
        <v>-21492.06</v>
      </c>
      <c r="V65" s="62">
        <f t="shared" si="2"/>
        <v>-0.42474426877470356</v>
      </c>
      <c r="W65" s="47"/>
      <c r="X65" s="46"/>
    </row>
    <row r="66" spans="1:24" ht="12" customHeight="1">
      <c r="A66" s="58">
        <v>531231</v>
      </c>
      <c r="B66" s="59" t="s">
        <v>57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1763028.94</v>
      </c>
      <c r="P66" s="64">
        <v>0</v>
      </c>
      <c r="Q66" s="64">
        <v>0</v>
      </c>
      <c r="R66" s="64">
        <v>0</v>
      </c>
      <c r="S66" s="64">
        <f t="shared" si="3"/>
        <v>1763028.94</v>
      </c>
      <c r="T66" s="64">
        <v>1906846</v>
      </c>
      <c r="U66" s="65">
        <f t="shared" si="1"/>
        <v>-143817.06000000006</v>
      </c>
      <c r="V66" s="62">
        <f t="shared" si="2"/>
        <v>-0.07542143413783811</v>
      </c>
      <c r="W66" s="47"/>
      <c r="X66" s="46"/>
    </row>
    <row r="67" spans="1:24" ht="12" customHeight="1">
      <c r="A67" s="58">
        <v>531401</v>
      </c>
      <c r="B67" s="59" t="s">
        <v>32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f t="shared" si="3"/>
        <v>0</v>
      </c>
      <c r="T67" s="64">
        <v>1600</v>
      </c>
      <c r="U67" s="65">
        <f t="shared" si="1"/>
        <v>-1600</v>
      </c>
      <c r="V67" s="62">
        <f t="shared" si="2"/>
        <v>-1</v>
      </c>
      <c r="W67" s="47"/>
      <c r="X67" s="46"/>
    </row>
    <row r="68" spans="1:24" ht="12" customHeight="1">
      <c r="A68" s="58">
        <v>531501</v>
      </c>
      <c r="B68" s="59" t="s">
        <v>64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5711416.47696564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f t="shared" si="3"/>
        <v>5711416.47696564</v>
      </c>
      <c r="T68" s="64">
        <v>11634854</v>
      </c>
      <c r="U68" s="65">
        <f t="shared" si="1"/>
        <v>-5923437.52303436</v>
      </c>
      <c r="V68" s="62">
        <f t="shared" si="2"/>
        <v>-0.5091114613930144</v>
      </c>
      <c r="W68" s="47"/>
      <c r="X68" s="46"/>
    </row>
    <row r="69" spans="1:24" ht="12" customHeight="1">
      <c r="A69" s="58">
        <v>531601</v>
      </c>
      <c r="B69" s="59" t="s">
        <v>58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177967.37000000002</v>
      </c>
      <c r="P69" s="64">
        <v>0</v>
      </c>
      <c r="Q69" s="64">
        <v>0</v>
      </c>
      <c r="R69" s="64">
        <v>75000</v>
      </c>
      <c r="S69" s="64">
        <f t="shared" si="3"/>
        <v>252967.37000000002</v>
      </c>
      <c r="T69" s="64">
        <v>363685</v>
      </c>
      <c r="U69" s="65">
        <f t="shared" si="1"/>
        <v>-110717.62999999998</v>
      </c>
      <c r="V69" s="62">
        <f t="shared" si="2"/>
        <v>-0.30443276461773233</v>
      </c>
      <c r="W69" s="47"/>
      <c r="X69" s="46"/>
    </row>
    <row r="70" spans="1:24" ht="12" customHeight="1">
      <c r="A70" s="58">
        <v>531611</v>
      </c>
      <c r="B70" s="59" t="s">
        <v>94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850000</v>
      </c>
      <c r="P70" s="64">
        <v>0</v>
      </c>
      <c r="Q70" s="64">
        <v>0</v>
      </c>
      <c r="R70" s="64">
        <v>0</v>
      </c>
      <c r="S70" s="64">
        <f t="shared" si="3"/>
        <v>850000</v>
      </c>
      <c r="T70" s="64">
        <v>794000</v>
      </c>
      <c r="U70" s="65">
        <f t="shared" si="1"/>
        <v>56000</v>
      </c>
      <c r="V70" s="62">
        <f t="shared" si="2"/>
        <v>0.07052896725440806</v>
      </c>
      <c r="W70" s="47"/>
      <c r="X70" s="46"/>
    </row>
    <row r="71" spans="1:24" ht="12" customHeight="1">
      <c r="A71" s="58">
        <v>531621</v>
      </c>
      <c r="B71" s="59" t="s">
        <v>95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1469600</v>
      </c>
      <c r="P71" s="64">
        <v>0</v>
      </c>
      <c r="Q71" s="64">
        <v>0</v>
      </c>
      <c r="R71" s="64">
        <v>0</v>
      </c>
      <c r="S71" s="64">
        <f t="shared" si="3"/>
        <v>1469600</v>
      </c>
      <c r="T71" s="64">
        <v>2782440</v>
      </c>
      <c r="U71" s="65">
        <f t="shared" si="1"/>
        <v>-1312840</v>
      </c>
      <c r="V71" s="62">
        <f t="shared" si="2"/>
        <v>-0.4718304797228332</v>
      </c>
      <c r="W71" s="47"/>
      <c r="X71" s="46"/>
    </row>
    <row r="72" spans="1:24" ht="12" customHeight="1">
      <c r="A72" s="58">
        <v>531641</v>
      </c>
      <c r="B72" s="59" t="s">
        <v>96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10495000</v>
      </c>
      <c r="O72" s="64">
        <v>0</v>
      </c>
      <c r="P72" s="64">
        <v>0</v>
      </c>
      <c r="Q72" s="64">
        <v>0</v>
      </c>
      <c r="R72" s="64">
        <v>0</v>
      </c>
      <c r="S72" s="64">
        <f t="shared" si="3"/>
        <v>10495000</v>
      </c>
      <c r="T72" s="64">
        <v>31017500</v>
      </c>
      <c r="U72" s="65">
        <f t="shared" si="1"/>
        <v>-20522500</v>
      </c>
      <c r="V72" s="62">
        <f t="shared" si="2"/>
        <v>-0.6616426211009914</v>
      </c>
      <c r="W72" s="47"/>
      <c r="X72" s="46"/>
    </row>
    <row r="73" spans="1:24" ht="12" customHeight="1">
      <c r="A73" s="58">
        <v>531651</v>
      </c>
      <c r="B73" s="59" t="s">
        <v>65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30186195.98447189</v>
      </c>
      <c r="O73" s="64">
        <v>0</v>
      </c>
      <c r="P73" s="64">
        <v>0</v>
      </c>
      <c r="Q73" s="64">
        <v>0</v>
      </c>
      <c r="R73" s="64">
        <v>0</v>
      </c>
      <c r="S73" s="64">
        <f t="shared" si="3"/>
        <v>30186195.98447189</v>
      </c>
      <c r="T73" s="64">
        <v>50641529</v>
      </c>
      <c r="U73" s="65">
        <f t="shared" si="1"/>
        <v>-20455333.01552811</v>
      </c>
      <c r="V73" s="62">
        <f t="shared" si="2"/>
        <v>-0.40392408008707853</v>
      </c>
      <c r="W73" s="47"/>
      <c r="X73" s="46"/>
    </row>
    <row r="74" spans="1:24" ht="12" customHeight="1">
      <c r="A74" s="58">
        <v>531701</v>
      </c>
      <c r="B74" s="59" t="s">
        <v>59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1685.25</v>
      </c>
      <c r="K74" s="64">
        <v>0</v>
      </c>
      <c r="L74" s="64">
        <v>0</v>
      </c>
      <c r="M74" s="64">
        <v>20262.239999999998</v>
      </c>
      <c r="N74" s="64">
        <v>0</v>
      </c>
      <c r="O74" s="64">
        <v>184639.78</v>
      </c>
      <c r="P74" s="64">
        <v>0</v>
      </c>
      <c r="Q74" s="64">
        <v>0</v>
      </c>
      <c r="R74" s="64">
        <v>84474.07053404664</v>
      </c>
      <c r="S74" s="64">
        <f t="shared" si="3"/>
        <v>291061.34053404664</v>
      </c>
      <c r="T74" s="64">
        <v>355052</v>
      </c>
      <c r="U74" s="65">
        <f t="shared" si="1"/>
        <v>-63990.65946595336</v>
      </c>
      <c r="V74" s="62">
        <f t="shared" si="2"/>
        <v>-0.1802289790395586</v>
      </c>
      <c r="W74" s="47"/>
      <c r="X74" s="46"/>
    </row>
    <row r="75" spans="1:24" ht="12" customHeight="1">
      <c r="A75" s="58">
        <v>541302</v>
      </c>
      <c r="B75" s="59" t="s">
        <v>97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5445000</v>
      </c>
      <c r="P75" s="64">
        <v>0</v>
      </c>
      <c r="Q75" s="64">
        <v>0</v>
      </c>
      <c r="R75" s="64">
        <v>0</v>
      </c>
      <c r="S75" s="64">
        <f aca="true" t="shared" si="4" ref="S75:S86">SUM(C75:R75)</f>
        <v>5445000</v>
      </c>
      <c r="T75" s="64">
        <v>7867000</v>
      </c>
      <c r="U75" s="65">
        <f t="shared" si="1"/>
        <v>-2422000</v>
      </c>
      <c r="V75" s="62">
        <f t="shared" si="2"/>
        <v>-0.30786831066480236</v>
      </c>
      <c r="W75" s="47"/>
      <c r="X75" s="46"/>
    </row>
    <row r="76" spans="1:24" ht="12" customHeight="1">
      <c r="A76" s="58">
        <v>541401</v>
      </c>
      <c r="B76" s="59" t="s">
        <v>98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7969130</v>
      </c>
      <c r="O76" s="64">
        <v>0</v>
      </c>
      <c r="P76" s="64">
        <v>0</v>
      </c>
      <c r="Q76" s="64">
        <v>135094212</v>
      </c>
      <c r="R76" s="64">
        <v>2600000</v>
      </c>
      <c r="S76" s="64">
        <f t="shared" si="4"/>
        <v>145663342</v>
      </c>
      <c r="T76" s="64">
        <v>136581848</v>
      </c>
      <c r="U76" s="65">
        <f t="shared" si="1"/>
        <v>9081494</v>
      </c>
      <c r="V76" s="62">
        <f t="shared" si="2"/>
        <v>0.06649122217177791</v>
      </c>
      <c r="W76" s="47"/>
      <c r="X76" s="46"/>
    </row>
    <row r="77" spans="1:24" ht="12" customHeight="1">
      <c r="A77" s="58">
        <v>541403</v>
      </c>
      <c r="B77" s="59" t="s">
        <v>99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3050000</v>
      </c>
      <c r="O77" s="64">
        <v>0</v>
      </c>
      <c r="P77" s="64">
        <v>0</v>
      </c>
      <c r="Q77" s="64">
        <v>0</v>
      </c>
      <c r="R77" s="64">
        <v>0</v>
      </c>
      <c r="S77" s="64">
        <f t="shared" si="4"/>
        <v>3050000</v>
      </c>
      <c r="T77" s="64">
        <v>2350000</v>
      </c>
      <c r="U77" s="65">
        <f t="shared" si="1"/>
        <v>700000</v>
      </c>
      <c r="V77" s="62">
        <f t="shared" si="2"/>
        <v>0.2978723404255319</v>
      </c>
      <c r="W77" s="47"/>
      <c r="X77" s="46"/>
    </row>
    <row r="78" spans="1:24" ht="12" customHeight="1">
      <c r="A78" s="58">
        <v>573001</v>
      </c>
      <c r="B78" s="59" t="s">
        <v>33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100000</v>
      </c>
      <c r="M78" s="64">
        <v>413841.94050392834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f t="shared" si="4"/>
        <v>513841.94050392834</v>
      </c>
      <c r="T78" s="64">
        <v>579999</v>
      </c>
      <c r="U78" s="65">
        <f t="shared" si="1"/>
        <v>-66157.05949607166</v>
      </c>
      <c r="V78" s="62">
        <f t="shared" si="2"/>
        <v>-0.11406409234511035</v>
      </c>
      <c r="W78" s="47"/>
      <c r="X78" s="46"/>
    </row>
    <row r="79" spans="1:24" ht="12" customHeight="1">
      <c r="A79" s="58">
        <v>573002</v>
      </c>
      <c r="B79" s="59" t="s">
        <v>66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23526092.306667246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f t="shared" si="4"/>
        <v>23526092.306667246</v>
      </c>
      <c r="T79" s="64">
        <v>24501885</v>
      </c>
      <c r="U79" s="65">
        <f t="shared" si="1"/>
        <v>-975792.6933327541</v>
      </c>
      <c r="V79" s="62">
        <f t="shared" si="2"/>
        <v>-0.03982520909443311</v>
      </c>
      <c r="W79" s="47"/>
      <c r="X79" s="46"/>
    </row>
    <row r="80" spans="1:24" ht="12" customHeight="1">
      <c r="A80" s="58">
        <v>173003</v>
      </c>
      <c r="B80" s="59" t="s">
        <v>100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200000</v>
      </c>
      <c r="R80" s="64">
        <v>0</v>
      </c>
      <c r="S80" s="64">
        <f t="shared" si="4"/>
        <v>200000</v>
      </c>
      <c r="T80" s="64">
        <v>2288000</v>
      </c>
      <c r="U80" s="65">
        <f aca="true" t="shared" si="5" ref="U80:U86">S80-T80</f>
        <v>-2088000</v>
      </c>
      <c r="V80" s="62">
        <f aca="true" t="shared" si="6" ref="V80:V86">IF(T80=0,100%,U80/T80)</f>
        <v>-0.9125874125874126</v>
      </c>
      <c r="W80" s="47"/>
      <c r="X80" s="46"/>
    </row>
    <row r="81" spans="1:24" ht="12" customHeight="1">
      <c r="A81" s="58">
        <v>173005</v>
      </c>
      <c r="B81" s="59" t="s">
        <v>101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f t="shared" si="4"/>
        <v>0</v>
      </c>
      <c r="T81" s="64">
        <v>3161613</v>
      </c>
      <c r="U81" s="65">
        <f t="shared" si="5"/>
        <v>-3161613</v>
      </c>
      <c r="V81" s="62">
        <f t="shared" si="6"/>
        <v>-1</v>
      </c>
      <c r="W81" s="47"/>
      <c r="X81" s="46"/>
    </row>
    <row r="82" spans="1:24" ht="12" customHeight="1">
      <c r="A82" s="58">
        <v>173005</v>
      </c>
      <c r="B82" s="59" t="s">
        <v>102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f t="shared" si="4"/>
        <v>0</v>
      </c>
      <c r="T82" s="64">
        <v>0</v>
      </c>
      <c r="U82" s="65">
        <f t="shared" si="5"/>
        <v>0</v>
      </c>
      <c r="V82" s="62">
        <f t="shared" si="6"/>
        <v>1</v>
      </c>
      <c r="W82" s="47"/>
      <c r="X82" s="46"/>
    </row>
    <row r="83" spans="1:24" ht="12" customHeight="1">
      <c r="A83" s="58">
        <v>173005</v>
      </c>
      <c r="B83" s="59" t="s">
        <v>103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f t="shared" si="4"/>
        <v>0</v>
      </c>
      <c r="T83" s="64">
        <v>0</v>
      </c>
      <c r="U83" s="65">
        <f t="shared" si="5"/>
        <v>0</v>
      </c>
      <c r="V83" s="62">
        <f t="shared" si="6"/>
        <v>1</v>
      </c>
      <c r="W83" s="47"/>
      <c r="X83" s="46"/>
    </row>
    <row r="84" spans="1:24" ht="12" customHeight="1">
      <c r="A84" s="58">
        <v>176001</v>
      </c>
      <c r="B84" s="59" t="s">
        <v>104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f t="shared" si="4"/>
        <v>0</v>
      </c>
      <c r="T84" s="64">
        <v>68887409</v>
      </c>
      <c r="U84" s="65">
        <f t="shared" si="5"/>
        <v>-68887409</v>
      </c>
      <c r="V84" s="62">
        <f t="shared" si="6"/>
        <v>-1</v>
      </c>
      <c r="W84" s="47"/>
      <c r="X84" s="46"/>
    </row>
    <row r="85" spans="1:24" ht="12" customHeight="1">
      <c r="A85" s="58">
        <v>176001</v>
      </c>
      <c r="B85" s="59" t="s">
        <v>105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f t="shared" si="4"/>
        <v>0</v>
      </c>
      <c r="T85" s="64">
        <v>0</v>
      </c>
      <c r="U85" s="65">
        <f t="shared" si="5"/>
        <v>0</v>
      </c>
      <c r="V85" s="62">
        <f t="shared" si="6"/>
        <v>1</v>
      </c>
      <c r="W85" s="47"/>
      <c r="X85" s="46"/>
    </row>
    <row r="86" spans="1:24" ht="12" customHeight="1">
      <c r="A86" s="58">
        <v>176001</v>
      </c>
      <c r="B86" s="59" t="s">
        <v>106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f t="shared" si="4"/>
        <v>0</v>
      </c>
      <c r="T86" s="64">
        <v>0</v>
      </c>
      <c r="U86" s="65">
        <f t="shared" si="5"/>
        <v>0</v>
      </c>
      <c r="V86" s="62">
        <f t="shared" si="6"/>
        <v>1</v>
      </c>
      <c r="W86" s="47"/>
      <c r="X86" s="46"/>
    </row>
    <row r="87" spans="2:24" ht="4.5" customHeight="1" thickBot="1">
      <c r="B87" s="69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2"/>
      <c r="W87" s="47"/>
      <c r="X87" s="46"/>
    </row>
    <row r="88" spans="2:24" ht="12" customHeight="1" thickBot="1">
      <c r="B88" s="71" t="s">
        <v>13</v>
      </c>
      <c r="C88" s="72">
        <f>SUM(C11:C86)</f>
        <v>1703294.1881526883</v>
      </c>
      <c r="D88" s="72">
        <f aca="true" t="shared" si="7" ref="D88:N88">SUM(D11:D86)</f>
        <v>578518.298135155</v>
      </c>
      <c r="E88" s="72">
        <f t="shared" si="7"/>
        <v>168440.7441358633</v>
      </c>
      <c r="F88" s="72">
        <f t="shared" si="7"/>
        <v>1384718.3026052865</v>
      </c>
      <c r="G88" s="72">
        <f t="shared" si="7"/>
        <v>1099221.2742158866</v>
      </c>
      <c r="H88" s="72">
        <f t="shared" si="7"/>
        <v>3060221.1841868656</v>
      </c>
      <c r="I88" s="72">
        <f t="shared" si="7"/>
        <v>1773948.2369128268</v>
      </c>
      <c r="J88" s="72">
        <f t="shared" si="7"/>
        <v>6467544.591862098</v>
      </c>
      <c r="K88" s="72">
        <f t="shared" si="7"/>
        <v>10153506.521452842</v>
      </c>
      <c r="L88" s="72">
        <f t="shared" si="7"/>
        <v>2610563.0243385835</v>
      </c>
      <c r="M88" s="72">
        <f>SUM(M11:M87)</f>
        <v>75520988.36806627</v>
      </c>
      <c r="N88" s="72">
        <f t="shared" si="7"/>
        <v>78972079.54555088</v>
      </c>
      <c r="O88" s="72">
        <f>SUM(O11:O86)</f>
        <v>53231822.851530194</v>
      </c>
      <c r="P88" s="72">
        <f>SUM(P11:P86)</f>
        <v>1300721.865662341</v>
      </c>
      <c r="Q88" s="72">
        <f>SUM(Q11:Q86)</f>
        <v>176183678.26952273</v>
      </c>
      <c r="R88" s="72">
        <f>SUM(R11:R86)</f>
        <v>25754041.82906461</v>
      </c>
      <c r="S88" s="72">
        <f>SUM(S11:S86)</f>
        <v>439963309.0953952</v>
      </c>
      <c r="T88" s="72">
        <v>602652528.407485</v>
      </c>
      <c r="U88" s="73">
        <f>SUM(U11:U86)</f>
        <v>-162689219.31208986</v>
      </c>
      <c r="V88" s="74">
        <f>IF(T88=0,100%,U88/T88)</f>
        <v>-0.26995525886533267</v>
      </c>
      <c r="W88" s="47"/>
      <c r="X88" s="46"/>
    </row>
    <row r="89" spans="2:24" ht="4.5" customHeight="1" thickTop="1"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47"/>
      <c r="X89" s="46"/>
    </row>
    <row r="90" spans="2:24" ht="4.5" customHeight="1"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47"/>
      <c r="X90" s="46"/>
    </row>
    <row r="91" spans="2:24" ht="27" customHeight="1">
      <c r="B91" s="75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6"/>
      <c r="U91" s="76"/>
      <c r="V91" s="76"/>
      <c r="W91" s="47"/>
      <c r="X91" s="46"/>
    </row>
    <row r="92" spans="2:24" ht="27.75" customHeight="1">
      <c r="B92" s="75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9"/>
      <c r="U92" s="79"/>
      <c r="V92" s="79"/>
      <c r="W92" s="47"/>
      <c r="X92" s="46"/>
    </row>
  </sheetData>
  <sheetProtection/>
  <conditionalFormatting sqref="D91:V92">
    <cfRule type="cellIs" priority="2" dxfId="0" operator="greaterThan" stopIfTrue="1">
      <formula>0</formula>
    </cfRule>
  </conditionalFormatting>
  <conditionalFormatting sqref="C91:C92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Raj Kafle, Baikuntha</cp:lastModifiedBy>
  <dcterms:created xsi:type="dcterms:W3CDTF">2014-08-19T16:12:53Z</dcterms:created>
  <dcterms:modified xsi:type="dcterms:W3CDTF">2020-12-16T22:02:49Z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S23RUA2WJYU2-286-1796</vt:lpwstr>
  </property>
  <property fmtid="{D5CDD505-2E9C-101B-9397-08002B2CF9AE}" pid="4" name="_dlc_DocIdItemGu">
    <vt:lpwstr>97befc99-a45e-470c-a180-133872b5c4dd</vt:lpwstr>
  </property>
  <property fmtid="{D5CDD505-2E9C-101B-9397-08002B2CF9AE}" pid="5" name="_dlc_DocIdU">
    <vt:lpwstr>http://nttavmspweb2/whatwedo/fin_invest_info/financial_Info/_layouts/DocIdRedir.aspx?ID=S23RUA2WJYU2-286-1796, S23RUA2WJYU2-286-1796</vt:lpwstr>
  </property>
  <property fmtid="{D5CDD505-2E9C-101B-9397-08002B2CF9AE}" pid="6" name="OpportunityTy">
    <vt:lpwstr>Consulting Services</vt:lpwstr>
  </property>
</Properties>
</file>