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OMF by Acct" sheetId="1" r:id="rId1"/>
    <sheet name="All Funds" sheetId="2" r:id="rId2"/>
  </sheets>
  <definedNames>
    <definedName name="_xlfn.IFERROR" hidden="1">#NAME?</definedName>
    <definedName name="_xlfn.SINGLE" hidden="1">#NAME?</definedName>
    <definedName name="_xlnm.Print_Area" localSheetId="1">'All Funds'!$A$2:$W$184</definedName>
    <definedName name="_xlnm.Print_Area" localSheetId="0">'OMF by Acct'!$B$2:$X$77</definedName>
  </definedNames>
  <calcPr fullCalcOnLoad="1"/>
</workbook>
</file>

<file path=xl/sharedStrings.xml><?xml version="1.0" encoding="utf-8"?>
<sst xmlns="http://schemas.openxmlformats.org/spreadsheetml/2006/main" count="452" uniqueCount="115">
  <si>
    <t>Account</t>
  </si>
  <si>
    <t>Accounting</t>
  </si>
  <si>
    <t>Administration</t>
  </si>
  <si>
    <t>Board</t>
  </si>
  <si>
    <t>Treasury Management</t>
  </si>
  <si>
    <t>Financial Planning &amp; Analysis</t>
  </si>
  <si>
    <t>Human Resources</t>
  </si>
  <si>
    <t>Internal Audit</t>
  </si>
  <si>
    <t>Legal Services</t>
  </si>
  <si>
    <t>Procurement and Business Diversity</t>
  </si>
  <si>
    <t>Public Affairs</t>
  </si>
  <si>
    <t>Shared Services</t>
  </si>
  <si>
    <t>Contact Center and Collections</t>
  </si>
  <si>
    <t>Information Technology</t>
  </si>
  <si>
    <t>Maintenance</t>
  </si>
  <si>
    <t>Operations</t>
  </si>
  <si>
    <t>Project Delivery</t>
  </si>
  <si>
    <t>System &amp; Incident Mgmt.</t>
  </si>
  <si>
    <t>FY19
Budget</t>
  </si>
  <si>
    <t>FY18
Budget</t>
  </si>
  <si>
    <t>Increase or
(Decrease)
Amount</t>
  </si>
  <si>
    <t>Increase or
(Decrease)
Percent</t>
  </si>
  <si>
    <t>Salaries and Wages-Direct - (511101)</t>
  </si>
  <si>
    <t>Salaries and Wages-Comp Adj. - (511103)</t>
  </si>
  <si>
    <t>Salaries and Wages-Internship - (511202)</t>
  </si>
  <si>
    <t>Salaries and Wage-Overtime - (511301)</t>
  </si>
  <si>
    <t>Group Insurance - (512101)</t>
  </si>
  <si>
    <t>Retirement Contributions - (512401)</t>
  </si>
  <si>
    <t>Retirement Contr.-Internship - (512402)</t>
  </si>
  <si>
    <t>Retirement Contr.-Comp. Adj. - (512403)</t>
  </si>
  <si>
    <t>Tuition Reimbursement - (512501)</t>
  </si>
  <si>
    <t>Unemployment Insurance - (512601)</t>
  </si>
  <si>
    <t>OPEB Annual Req'd Contribution - (512602)</t>
  </si>
  <si>
    <t>Worker's Comp Ins - (512701)</t>
  </si>
  <si>
    <t>Salaries &amp; Benefits</t>
  </si>
  <si>
    <t>Consulting/Professional - (521201)</t>
  </si>
  <si>
    <t>Legal Fees - (521202)</t>
  </si>
  <si>
    <t>Auditing Fees - (521203)</t>
  </si>
  <si>
    <t>Trustee Fees - (521204)</t>
  </si>
  <si>
    <t>Traffic Engineering Fees - (521207)</t>
  </si>
  <si>
    <t>Police Services (DPS) - (521208)</t>
  </si>
  <si>
    <t>Armored Car Services - (521209)</t>
  </si>
  <si>
    <t>Recruitment - (523301)</t>
  </si>
  <si>
    <t>Temporary Contract Labor - (523851)</t>
  </si>
  <si>
    <t>Consulting &amp; Professional Services</t>
  </si>
  <si>
    <t>Outside Maintenance Services - (521212)</t>
  </si>
  <si>
    <t>Landscaping - (522202)</t>
  </si>
  <si>
    <t>Rentals - Land - (522301)</t>
  </si>
  <si>
    <t>Rentals - Equipment - (522302)</t>
  </si>
  <si>
    <t>Licenses - (523801)</t>
  </si>
  <si>
    <t>Other Materials and Supplies - (531102)</t>
  </si>
  <si>
    <t>Motor Fuel Expense - (531107)</t>
  </si>
  <si>
    <t>Water - (531211)</t>
  </si>
  <si>
    <t>Gas - (531221)</t>
  </si>
  <si>
    <t>Electricity - (531231)</t>
  </si>
  <si>
    <t>x</t>
  </si>
  <si>
    <t>Small Tools and Shop Supplies - (531601)</t>
  </si>
  <si>
    <t>Uniforms - (531701)</t>
  </si>
  <si>
    <t>Postage - (523201)</t>
  </si>
  <si>
    <t>Telecommunications - (523202)</t>
  </si>
  <si>
    <t>Education and Training - (523701)</t>
  </si>
  <si>
    <t>Mobile Equipment Expense - (531103)</t>
  </si>
  <si>
    <t>Inven for resale(toll tags) - (531501)</t>
  </si>
  <si>
    <t>Software - (531651)</t>
  </si>
  <si>
    <t>Credit Card Fees - (573002)</t>
  </si>
  <si>
    <t>Public Information Fees - (523203)</t>
  </si>
  <si>
    <t>Magazine and Newspaper - (523302)</t>
  </si>
  <si>
    <t>Television &amp; Radio - (523303)</t>
  </si>
  <si>
    <t>Promotional Expenses - (523304)</t>
  </si>
  <si>
    <t>Printing and Photographic - (523401)</t>
  </si>
  <si>
    <t>Maps &amp; Pamphlets - (523402)</t>
  </si>
  <si>
    <t>Business &amp; Marketing</t>
  </si>
  <si>
    <t>Meeting Expense - (521101)</t>
  </si>
  <si>
    <t>Insurance Expense - Other - (523101)</t>
  </si>
  <si>
    <t>Employee Appreciation - (523305)</t>
  </si>
  <si>
    <t>Travel - (523501)</t>
  </si>
  <si>
    <t>Dues &amp; Subscriptions - (523601)</t>
  </si>
  <si>
    <t>Liability Claims - (523902)</t>
  </si>
  <si>
    <t>Office Supplies - (531101)</t>
  </si>
  <si>
    <t>Freight and Express - (531105)</t>
  </si>
  <si>
    <t>Books &amp; Periodicals - (531401)</t>
  </si>
  <si>
    <t>Bank Charges - (573001)</t>
  </si>
  <si>
    <t>Rating Agency Fees - (521205)</t>
  </si>
  <si>
    <t>Administrative</t>
  </si>
  <si>
    <t>Totals</t>
  </si>
  <si>
    <t>Check Figure</t>
  </si>
  <si>
    <t>FY2018
Budget</t>
  </si>
  <si>
    <t>FY2019
Budget</t>
  </si>
  <si>
    <t>CSC</t>
  </si>
  <si>
    <t>TSA</t>
  </si>
  <si>
    <t>Project Delivery -</t>
  </si>
  <si>
    <t>Procuirement and Business Diversity</t>
  </si>
  <si>
    <t>360 Tollway</t>
  </si>
  <si>
    <t>Other (176999)</t>
  </si>
  <si>
    <t>Equipment/Hardware (05)</t>
  </si>
  <si>
    <t>Construction (04)</t>
  </si>
  <si>
    <t>Design (03)</t>
  </si>
  <si>
    <t>Planning (02)</t>
  </si>
  <si>
    <t>Administration (01)</t>
  </si>
  <si>
    <t>Right-of-Way (06)</t>
  </si>
  <si>
    <t>Infrastructure - Other - (541403)</t>
  </si>
  <si>
    <t>Infrastructure Rdway/Hwy/Bridg - (541401)</t>
  </si>
  <si>
    <t>Building Improvements - (541302)</t>
  </si>
  <si>
    <t>Computers - (531641)</t>
  </si>
  <si>
    <t>Vehicles - (531621)</t>
  </si>
  <si>
    <t>Machinery - (531611)</t>
  </si>
  <si>
    <t>Electronic Supplies - (531106)</t>
  </si>
  <si>
    <t>Bridge Repairs - (522206)</t>
  </si>
  <si>
    <t>Pavement &amp; Shoulders - (522205)</t>
  </si>
  <si>
    <t>Pavement Markings - (522204)</t>
  </si>
  <si>
    <t>Signing Expense - (522203)</t>
  </si>
  <si>
    <t>Consulting/Profess Serv Tech - (521301)</t>
  </si>
  <si>
    <t>General Engineering - (521213)</t>
  </si>
  <si>
    <t>Remarketing/Loc Provider Fees - (521206)</t>
  </si>
  <si>
    <t>Deferred Charges (153001)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</si>
</sst>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ccount&quot;"/>
    <numFmt numFmtId="165" formatCode="#,##0;&quot;-&quot;#,##0"/>
    <numFmt numFmtId="166" formatCode="#,##0;&quot;(&quot;#,##0&quot;)&quot;"/>
    <numFmt numFmtId="167" formatCode="&quot;$&quot;#,##0;&quot;($&quot;#,##0&quot;)&quot;"/>
    <numFmt numFmtId="168" formatCode="0.0%_);[Red]\ \ \(0.0%\)"/>
    <numFmt numFmtId="169" formatCode="#,##0.0&quot;%&quot;;&quot;(&quot;#,##0.0&quot;%)&quot;"/>
    <numFmt numFmtId="170" formatCode="0.0%"/>
    <numFmt numFmtId="171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8"/>
      <color indexed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7"/>
      <color indexed="9"/>
      <name val="Microsoft Sans Serif"/>
      <family val="2"/>
    </font>
    <font>
      <sz val="10"/>
      <color indexed="8"/>
      <name val="Cambria"/>
      <family val="1"/>
    </font>
    <font>
      <b/>
      <sz val="7"/>
      <color indexed="8"/>
      <name val="Microsoft Sans Serif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sz val="8"/>
      <color rgb="FFFF0000"/>
      <name val="Microsoft Sans Serif"/>
      <family val="2"/>
    </font>
    <font>
      <sz val="10"/>
      <color theme="1"/>
      <name val="Calibri"/>
      <family val="2"/>
    </font>
    <font>
      <b/>
      <sz val="7"/>
      <color rgb="FFFFFFFF"/>
      <name val="Microsoft Sans Serif"/>
      <family val="2"/>
    </font>
    <font>
      <sz val="10"/>
      <color theme="1"/>
      <name val="Cambria"/>
      <family val="1"/>
    </font>
    <font>
      <b/>
      <sz val="7"/>
      <color rgb="FF000000"/>
      <name val="Microsoft Sans Serif"/>
      <family val="2"/>
    </font>
    <font>
      <sz val="10"/>
      <color rgb="FF000000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1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 wrapText="1"/>
    </xf>
    <xf numFmtId="164" fontId="4" fillId="0" borderId="0" xfId="0" applyNumberFormat="1" applyFont="1" applyFill="1" applyBorder="1" applyAlignment="1" quotePrefix="1">
      <alignment horizontal="left"/>
    </xf>
    <xf numFmtId="165" fontId="4" fillId="0" borderId="0" xfId="0" applyNumberFormat="1" applyFont="1" applyFill="1" applyBorder="1" applyAlignment="1" quotePrefix="1">
      <alignment horizontal="center" wrapText="1"/>
    </xf>
    <xf numFmtId="165" fontId="4" fillId="0" borderId="0" xfId="0" applyNumberFormat="1" applyFont="1" applyFill="1" applyBorder="1" applyAlignment="1" quotePrefix="1">
      <alignment horizontal="center"/>
    </xf>
    <xf numFmtId="165" fontId="4" fillId="0" borderId="0" xfId="0" applyNumberFormat="1" applyFont="1" applyFill="1" applyBorder="1" applyAlignment="1" quotePrefix="1">
      <alignment horizontal="right" wrapText="1"/>
    </xf>
    <xf numFmtId="165" fontId="4" fillId="0" borderId="0" xfId="0" applyNumberFormat="1" applyFont="1" applyFill="1" applyBorder="1" applyAlignment="1" quotePrefix="1">
      <alignment horizontal="right" vertical="top" wrapText="1"/>
    </xf>
    <xf numFmtId="0" fontId="5" fillId="0" borderId="0" xfId="0" applyFont="1" applyFill="1" applyBorder="1" applyAlignment="1">
      <alignment/>
    </xf>
    <xf numFmtId="165" fontId="6" fillId="33" borderId="10" xfId="0" applyNumberFormat="1" applyFont="1" applyFill="1" applyBorder="1" applyAlignment="1">
      <alignment horizontal="left"/>
    </xf>
    <xf numFmtId="166" fontId="6" fillId="33" borderId="10" xfId="0" applyNumberFormat="1" applyFont="1" applyFill="1" applyBorder="1" applyAlignment="1">
      <alignment horizontal="right"/>
    </xf>
    <xf numFmtId="166" fontId="52" fillId="33" borderId="10" xfId="0" applyNumberFormat="1" applyFont="1" applyFill="1" applyBorder="1" applyAlignment="1">
      <alignment horizontal="right"/>
    </xf>
    <xf numFmtId="165" fontId="6" fillId="33" borderId="0" xfId="0" applyNumberFormat="1" applyFont="1" applyFill="1" applyAlignment="1" quotePrefix="1">
      <alignment horizontal="left"/>
    </xf>
    <xf numFmtId="167" fontId="6" fillId="33" borderId="0" xfId="0" applyNumberFormat="1" applyFont="1" applyFill="1" applyAlignment="1">
      <alignment horizontal="right"/>
    </xf>
    <xf numFmtId="167" fontId="52" fillId="33" borderId="0" xfId="0" applyNumberFormat="1" applyFont="1" applyFill="1" applyAlignment="1">
      <alignment horizontal="right"/>
    </xf>
    <xf numFmtId="6" fontId="52" fillId="33" borderId="0" xfId="0" applyNumberFormat="1" applyFont="1" applyFill="1" applyAlignment="1">
      <alignment horizontal="right"/>
    </xf>
    <xf numFmtId="168" fontId="52" fillId="33" borderId="0" xfId="0" applyNumberFormat="1" applyFont="1" applyFill="1" applyAlignment="1">
      <alignment horizontal="right"/>
    </xf>
    <xf numFmtId="166" fontId="6" fillId="33" borderId="0" xfId="0" applyNumberFormat="1" applyFont="1" applyFill="1" applyAlignment="1">
      <alignment horizontal="right"/>
    </xf>
    <xf numFmtId="166" fontId="52" fillId="33" borderId="0" xfId="0" applyNumberFormat="1" applyFont="1" applyFill="1" applyAlignment="1">
      <alignment horizontal="right"/>
    </xf>
    <xf numFmtId="38" fontId="52" fillId="33" borderId="0" xfId="0" applyNumberFormat="1" applyFont="1" applyFill="1" applyAlignment="1">
      <alignment horizontal="right"/>
    </xf>
    <xf numFmtId="38" fontId="6" fillId="33" borderId="0" xfId="0" applyNumberFormat="1" applyFont="1" applyFill="1" applyAlignment="1">
      <alignment horizontal="right"/>
    </xf>
    <xf numFmtId="165" fontId="4" fillId="2" borderId="0" xfId="0" applyNumberFormat="1" applyFont="1" applyFill="1" applyAlignment="1" quotePrefix="1">
      <alignment horizontal="left"/>
    </xf>
    <xf numFmtId="166" fontId="4" fillId="2" borderId="0" xfId="0" applyNumberFormat="1" applyFont="1" applyFill="1" applyAlignment="1">
      <alignment horizontal="right"/>
    </xf>
    <xf numFmtId="168" fontId="53" fillId="2" borderId="0" xfId="0" applyNumberFormat="1" applyFont="1" applyFill="1" applyAlignment="1">
      <alignment horizontal="right"/>
    </xf>
    <xf numFmtId="0" fontId="49" fillId="2" borderId="0" xfId="0" applyFont="1" applyFill="1" applyAlignment="1">
      <alignment/>
    </xf>
    <xf numFmtId="0" fontId="0" fillId="2" borderId="0" xfId="0" applyFill="1" applyAlignment="1">
      <alignment/>
    </xf>
    <xf numFmtId="166" fontId="54" fillId="2" borderId="0" xfId="0" applyNumberFormat="1" applyFont="1" applyFill="1" applyAlignment="1">
      <alignment horizontal="right"/>
    </xf>
    <xf numFmtId="165" fontId="6" fillId="0" borderId="0" xfId="0" applyNumberFormat="1" applyFont="1" applyFill="1" applyAlignment="1" quotePrefix="1">
      <alignment horizontal="left"/>
    </xf>
    <xf numFmtId="165" fontId="4" fillId="33" borderId="0" xfId="0" applyNumberFormat="1" applyFont="1" applyFill="1" applyAlignment="1">
      <alignment horizontal="left" vertical="center"/>
    </xf>
    <xf numFmtId="165" fontId="4" fillId="33" borderId="0" xfId="0" applyNumberFormat="1" applyFont="1" applyFill="1" applyAlignment="1">
      <alignment horizontal="right" vertical="center"/>
    </xf>
    <xf numFmtId="165" fontId="53" fillId="33" borderId="0" xfId="0" applyNumberFormat="1" applyFont="1" applyFill="1" applyAlignment="1">
      <alignment horizontal="right" vertical="center"/>
    </xf>
    <xf numFmtId="169" fontId="53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 quotePrefix="1">
      <alignment horizontal="left" vertical="center"/>
    </xf>
    <xf numFmtId="167" fontId="4" fillId="33" borderId="12" xfId="0" applyNumberFormat="1" applyFont="1" applyFill="1" applyBorder="1" applyAlignment="1">
      <alignment horizontal="right" vertical="center"/>
    </xf>
    <xf numFmtId="168" fontId="53" fillId="33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7" fontId="0" fillId="34" borderId="0" xfId="0" applyNumberFormat="1" applyFill="1" applyAlignment="1">
      <alignment/>
    </xf>
    <xf numFmtId="0" fontId="55" fillId="34" borderId="0" xfId="0" applyFont="1" applyFill="1" applyAlignment="1">
      <alignment/>
    </xf>
    <xf numFmtId="164" fontId="56" fillId="35" borderId="0" xfId="0" applyNumberFormat="1" applyFont="1" applyFill="1" applyAlignment="1" quotePrefix="1">
      <alignment horizontal="left"/>
    </xf>
    <xf numFmtId="165" fontId="56" fillId="35" borderId="0" xfId="0" applyNumberFormat="1" applyFont="1" applyFill="1" applyAlignment="1" quotePrefix="1">
      <alignment horizontal="right" wrapText="1"/>
    </xf>
    <xf numFmtId="165" fontId="56" fillId="35" borderId="0" xfId="0" applyNumberFormat="1" applyFont="1" applyFill="1" applyAlignment="1" quotePrefix="1">
      <alignment horizontal="right" vertical="top" wrapText="1"/>
    </xf>
    <xf numFmtId="165" fontId="52" fillId="33" borderId="10" xfId="0" applyNumberFormat="1" applyFont="1" applyFill="1" applyBorder="1" applyAlignment="1">
      <alignment horizontal="left"/>
    </xf>
    <xf numFmtId="165" fontId="52" fillId="33" borderId="0" xfId="0" applyNumberFormat="1" applyFont="1" applyFill="1" applyAlignment="1" quotePrefix="1">
      <alignment horizontal="left"/>
    </xf>
    <xf numFmtId="169" fontId="52" fillId="33" borderId="0" xfId="0" applyNumberFormat="1" applyFont="1" applyFill="1" applyAlignment="1">
      <alignment horizontal="right"/>
    </xf>
    <xf numFmtId="165" fontId="53" fillId="33" borderId="0" xfId="0" applyNumberFormat="1" applyFont="1" applyFill="1" applyAlignment="1">
      <alignment horizontal="left" vertical="center"/>
    </xf>
    <xf numFmtId="169" fontId="53" fillId="33" borderId="0" xfId="0" applyNumberFormat="1" applyFont="1" applyFill="1" applyAlignment="1">
      <alignment horizontal="right" vertical="center"/>
    </xf>
    <xf numFmtId="167" fontId="53" fillId="33" borderId="12" xfId="0" applyNumberFormat="1" applyFont="1" applyFill="1" applyBorder="1" applyAlignment="1" quotePrefix="1">
      <alignment horizontal="left" vertical="center"/>
    </xf>
    <xf numFmtId="167" fontId="53" fillId="33" borderId="12" xfId="0" applyNumberFormat="1" applyFont="1" applyFill="1" applyBorder="1" applyAlignment="1">
      <alignment horizontal="right" vertical="center"/>
    </xf>
    <xf numFmtId="169" fontId="53" fillId="33" borderId="12" xfId="0" applyNumberFormat="1" applyFont="1" applyFill="1" applyBorder="1" applyAlignment="1">
      <alignment horizontal="right" vertical="center"/>
    </xf>
    <xf numFmtId="0" fontId="57" fillId="34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36" borderId="0" xfId="0" applyFont="1" applyFill="1" applyAlignment="1">
      <alignment/>
    </xf>
    <xf numFmtId="167" fontId="57" fillId="36" borderId="0" xfId="0" applyNumberFormat="1" applyFont="1" applyFill="1" applyAlignment="1">
      <alignment/>
    </xf>
    <xf numFmtId="165" fontId="58" fillId="33" borderId="0" xfId="0" applyNumberFormat="1" applyFont="1" applyFill="1" applyAlignment="1" quotePrefix="1">
      <alignment horizontal="right" vertical="top" wrapText="1"/>
    </xf>
    <xf numFmtId="165" fontId="58" fillId="33" borderId="0" xfId="0" applyNumberFormat="1" applyFont="1" applyFill="1" applyAlignment="1" quotePrefix="1">
      <alignment horizontal="right" wrapText="1"/>
    </xf>
    <xf numFmtId="165" fontId="58" fillId="33" borderId="0" xfId="0" applyNumberFormat="1" applyFont="1" applyFill="1" applyAlignment="1" quotePrefix="1">
      <alignment horizontal="center"/>
    </xf>
    <xf numFmtId="164" fontId="58" fillId="33" borderId="0" xfId="0" applyNumberFormat="1" applyFont="1" applyFill="1" applyAlignment="1" quotePrefix="1">
      <alignment horizontal="left"/>
    </xf>
    <xf numFmtId="0" fontId="0" fillId="33" borderId="0" xfId="0" applyFill="1" applyAlignment="1">
      <alignment/>
    </xf>
    <xf numFmtId="0" fontId="59" fillId="33" borderId="0" xfId="0" applyFont="1" applyFill="1" applyAlignment="1">
      <alignment wrapText="1"/>
    </xf>
    <xf numFmtId="0" fontId="57" fillId="34" borderId="0" xfId="0" applyFont="1" applyFill="1" applyAlignment="1">
      <alignment wrapText="1"/>
    </xf>
    <xf numFmtId="165" fontId="56" fillId="35" borderId="0" xfId="0" applyNumberFormat="1" applyFont="1" applyFill="1" applyAlignment="1" quotePrefix="1">
      <alignment horizontal="right"/>
    </xf>
    <xf numFmtId="0" fontId="57" fillId="37" borderId="0" xfId="0" applyFont="1" applyFill="1" applyAlignment="1">
      <alignment/>
    </xf>
    <xf numFmtId="0" fontId="57" fillId="33" borderId="0" xfId="0" applyFont="1" applyFill="1" applyAlignment="1">
      <alignment/>
    </xf>
    <xf numFmtId="167" fontId="57" fillId="33" borderId="0" xfId="0" applyNumberFormat="1" applyFont="1" applyFill="1" applyAlignment="1">
      <alignment/>
    </xf>
    <xf numFmtId="0" fontId="60" fillId="33" borderId="0" xfId="0" applyFont="1" applyFill="1" applyAlignment="1">
      <alignment wrapText="1"/>
    </xf>
    <xf numFmtId="170" fontId="61" fillId="33" borderId="12" xfId="57" applyNumberFormat="1" applyFont="1" applyFill="1" applyBorder="1" applyAlignment="1">
      <alignment horizontal="right" vertical="center"/>
    </xf>
    <xf numFmtId="167" fontId="61" fillId="33" borderId="12" xfId="0" applyNumberFormat="1" applyFont="1" applyFill="1" applyBorder="1" applyAlignment="1">
      <alignment horizontal="right" vertical="center"/>
    </xf>
    <xf numFmtId="167" fontId="61" fillId="0" borderId="12" xfId="0" applyNumberFormat="1" applyFont="1" applyFill="1" applyBorder="1" applyAlignment="1">
      <alignment horizontal="right" vertical="center"/>
    </xf>
    <xf numFmtId="167" fontId="61" fillId="33" borderId="12" xfId="0" applyNumberFormat="1" applyFont="1" applyFill="1" applyBorder="1" applyAlignment="1" quotePrefix="1">
      <alignment horizontal="left" vertical="center"/>
    </xf>
    <xf numFmtId="168" fontId="60" fillId="33" borderId="0" xfId="0" applyNumberFormat="1" applyFont="1" applyFill="1" applyAlignment="1">
      <alignment horizontal="right"/>
    </xf>
    <xf numFmtId="165" fontId="61" fillId="33" borderId="0" xfId="0" applyNumberFormat="1" applyFont="1" applyFill="1" applyAlignment="1">
      <alignment horizontal="right" vertical="center"/>
    </xf>
    <xf numFmtId="165" fontId="61" fillId="33" borderId="0" xfId="0" applyNumberFormat="1" applyFont="1" applyFill="1" applyAlignment="1">
      <alignment horizontal="left" vertical="center"/>
    </xf>
    <xf numFmtId="38" fontId="57" fillId="0" borderId="0" xfId="42" applyNumberFormat="1" applyFont="1" applyFill="1" applyAlignment="1">
      <alignment horizontal="right"/>
    </xf>
    <xf numFmtId="166" fontId="60" fillId="33" borderId="0" xfId="0" applyNumberFormat="1" applyFont="1" applyFill="1" applyAlignment="1">
      <alignment horizontal="right"/>
    </xf>
    <xf numFmtId="165" fontId="60" fillId="33" borderId="0" xfId="0" applyNumberFormat="1" applyFont="1" applyFill="1" applyAlignment="1" quotePrefix="1">
      <alignment horizontal="left"/>
    </xf>
    <xf numFmtId="167" fontId="60" fillId="33" borderId="0" xfId="0" applyNumberFormat="1" applyFont="1" applyFill="1" applyAlignment="1">
      <alignment horizontal="right"/>
    </xf>
    <xf numFmtId="166" fontId="60" fillId="33" borderId="10" xfId="0" applyNumberFormat="1" applyFont="1" applyFill="1" applyBorder="1" applyAlignment="1">
      <alignment horizontal="right"/>
    </xf>
    <xf numFmtId="165" fontId="60" fillId="33" borderId="1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165" fontId="18" fillId="0" borderId="0" xfId="0" applyNumberFormat="1" applyFont="1" applyFill="1" applyBorder="1" applyAlignment="1" quotePrefix="1">
      <alignment horizontal="center" wrapText="1"/>
    </xf>
    <xf numFmtId="165" fontId="18" fillId="0" borderId="0" xfId="0" applyNumberFormat="1" applyFont="1" applyFill="1" applyBorder="1" applyAlignment="1" quotePrefix="1">
      <alignment horizontal="left" wrapText="1"/>
    </xf>
    <xf numFmtId="0" fontId="57" fillId="33" borderId="0" xfId="0" applyFont="1" applyFill="1" applyAlignment="1">
      <alignment/>
    </xf>
    <xf numFmtId="171" fontId="57" fillId="33" borderId="0" xfId="42" applyNumberFormat="1" applyFont="1" applyFill="1" applyAlignment="1">
      <alignment/>
    </xf>
    <xf numFmtId="0" fontId="57" fillId="0" borderId="0" xfId="0" applyFont="1" applyFill="1" applyAlignment="1">
      <alignment/>
    </xf>
    <xf numFmtId="171" fontId="57" fillId="33" borderId="0" xfId="0" applyNumberFormat="1" applyFont="1" applyFill="1" applyAlignment="1">
      <alignment/>
    </xf>
    <xf numFmtId="0" fontId="57" fillId="33" borderId="0" xfId="0" applyFont="1" applyFill="1" applyAlignment="1">
      <alignment wrapText="1"/>
    </xf>
    <xf numFmtId="0" fontId="61" fillId="33" borderId="0" xfId="0" applyFont="1" applyFill="1" applyAlignment="1">
      <alignment vertical="top" wrapText="1"/>
    </xf>
    <xf numFmtId="166" fontId="6" fillId="0" borderId="0" xfId="0" applyNumberFormat="1" applyFont="1" applyFill="1" applyAlignment="1">
      <alignment horizontal="right"/>
    </xf>
    <xf numFmtId="164" fontId="56" fillId="35" borderId="0" xfId="0" applyNumberFormat="1" applyFont="1" applyFill="1" applyAlignment="1" quotePrefix="1">
      <alignment horizontal="left" wrapText="1"/>
    </xf>
    <xf numFmtId="165" fontId="56" fillId="35" borderId="0" xfId="0" applyNumberFormat="1" applyFont="1" applyFill="1" applyAlignment="1" quotePrefix="1">
      <alignment horizontal="center" wrapText="1"/>
    </xf>
    <xf numFmtId="0" fontId="0" fillId="34" borderId="0" xfId="0" applyFill="1" applyAlignment="1">
      <alignment wrapText="1"/>
    </xf>
    <xf numFmtId="166" fontId="60" fillId="0" borderId="0" xfId="0" applyNumberFormat="1" applyFont="1" applyFill="1" applyAlignment="1">
      <alignment horizontal="right"/>
    </xf>
    <xf numFmtId="167" fontId="53" fillId="33" borderId="0" xfId="0" applyNumberFormat="1" applyFont="1" applyFill="1" applyBorder="1" applyAlignment="1" quotePrefix="1">
      <alignment horizontal="left" vertical="center"/>
    </xf>
    <xf numFmtId="167" fontId="53" fillId="33" borderId="0" xfId="0" applyNumberFormat="1" applyFont="1" applyFill="1" applyBorder="1" applyAlignment="1">
      <alignment horizontal="right" vertical="center"/>
    </xf>
    <xf numFmtId="169" fontId="53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114675" cy="485775"/>
    <xdr:sp>
      <xdr:nvSpPr>
        <xdr:cNvPr id="1" name="Text Box 2"/>
        <xdr:cNvSpPr txBox="1">
          <a:spLocks noChangeArrowheads="1"/>
        </xdr:cNvSpPr>
      </xdr:nvSpPr>
      <xdr:spPr>
        <a:xfrm>
          <a:off x="1228725" y="257175"/>
          <a:ext cx="3114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FY2019</a:t>
          </a:r>
        </a:p>
      </xdr:txBody>
    </xdr:sp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1019175</xdr:colOff>
      <xdr:row>1</xdr:row>
      <xdr:rowOff>66675</xdr:rowOff>
    </xdr:from>
    <xdr:ext cx="3114675" cy="485775"/>
    <xdr:sp>
      <xdr:nvSpPr>
        <xdr:cNvPr id="3" name="Text Box 2"/>
        <xdr:cNvSpPr txBox="1">
          <a:spLocks noChangeArrowheads="1"/>
        </xdr:cNvSpPr>
      </xdr:nvSpPr>
      <xdr:spPr>
        <a:xfrm>
          <a:off x="1228725" y="257175"/>
          <a:ext cx="31146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FY2019</a:t>
          </a:r>
        </a:p>
      </xdr:txBody>
    </xdr:sp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955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0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666750</xdr:colOff>
      <xdr:row>2</xdr:row>
      <xdr:rowOff>9525</xdr:rowOff>
    </xdr:from>
    <xdr:ext cx="1714500" cy="504825"/>
    <xdr:sp>
      <xdr:nvSpPr>
        <xdr:cNvPr id="6" name="Text Box 2"/>
        <xdr:cNvSpPr txBox="1">
          <a:spLocks noChangeArrowheads="1"/>
        </xdr:cNvSpPr>
      </xdr:nvSpPr>
      <xdr:spPr>
        <a:xfrm>
          <a:off x="666750" y="333375"/>
          <a:ext cx="1714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FY2019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9525</xdr:colOff>
      <xdr:row>231</xdr:row>
      <xdr:rowOff>9525</xdr:rowOff>
    </xdr:to>
    <xdr:pic>
      <xdr:nvPicPr>
        <xdr:cNvPr id="8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9525</xdr:colOff>
      <xdr:row>231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1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666750</xdr:colOff>
      <xdr:row>2</xdr:row>
      <xdr:rowOff>9525</xdr:rowOff>
    </xdr:from>
    <xdr:ext cx="1714500" cy="504825"/>
    <xdr:sp>
      <xdr:nvSpPr>
        <xdr:cNvPr id="12" name="Text Box 2"/>
        <xdr:cNvSpPr txBox="1">
          <a:spLocks noChangeArrowheads="1"/>
        </xdr:cNvSpPr>
      </xdr:nvSpPr>
      <xdr:spPr>
        <a:xfrm>
          <a:off x="666750" y="333375"/>
          <a:ext cx="1714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FY2019</a:t>
          </a: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3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9525</xdr:rowOff>
    </xdr:from>
    <xdr:to>
      <xdr:col>0</xdr:col>
      <xdr:colOff>9525</xdr:colOff>
      <xdr:row>94</xdr:row>
      <xdr:rowOff>9525</xdr:rowOff>
    </xdr:to>
    <xdr:pic>
      <xdr:nvPicPr>
        <xdr:cNvPr id="1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08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9525</xdr:rowOff>
    </xdr:from>
    <xdr:to>
      <xdr:col>0</xdr:col>
      <xdr:colOff>9525</xdr:colOff>
      <xdr:row>94</xdr:row>
      <xdr:rowOff>9525</xdr:rowOff>
    </xdr:to>
    <xdr:pic>
      <xdr:nvPicPr>
        <xdr:cNvPr id="1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408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9"/>
  <sheetViews>
    <sheetView showGridLines="0" tabSelected="1" zoomScale="120" zoomScaleNormal="120" zoomScalePageLayoutView="0" workbookViewId="0" topLeftCell="A1">
      <pane xSplit="2" ySplit="11" topLeftCell="C51" activePane="bottomRight" state="frozen"/>
      <selection pane="topLeft" activeCell="C78" sqref="C78"/>
      <selection pane="topRight" activeCell="C78" sqref="C78"/>
      <selection pane="bottomLeft" activeCell="C78" sqref="C78"/>
      <selection pane="bottomRight" activeCell="N145" sqref="N145"/>
    </sheetView>
  </sheetViews>
  <sheetFormatPr defaultColWidth="9.140625" defaultRowHeight="15" outlineLevelRow="1"/>
  <cols>
    <col min="1" max="1" width="3.140625" style="2" customWidth="1"/>
    <col min="2" max="2" width="31.140625" style="2" bestFit="1" customWidth="1"/>
    <col min="3" max="4" width="12.28125" style="2" customWidth="1"/>
    <col min="5" max="5" width="8.57421875" style="2" customWidth="1"/>
    <col min="6" max="6" width="11.140625" style="2" customWidth="1"/>
    <col min="7" max="7" width="10.140625" style="2" hidden="1" customWidth="1"/>
    <col min="8" max="10" width="10.140625" style="2" customWidth="1"/>
    <col min="11" max="11" width="12.140625" style="2" customWidth="1"/>
    <col min="12" max="12" width="12.7109375" style="2" customWidth="1" collapsed="1"/>
    <col min="13" max="13" width="11.7109375" style="2" customWidth="1"/>
    <col min="14" max="15" width="12.421875" style="2" customWidth="1"/>
    <col min="16" max="16" width="12.28125" style="2" customWidth="1"/>
    <col min="17" max="17" width="14.421875" style="2" customWidth="1"/>
    <col min="18" max="18" width="12.421875" style="2" customWidth="1"/>
    <col min="19" max="19" width="12.00390625" style="2" customWidth="1"/>
    <col min="20" max="21" width="12.140625" style="2" bestFit="1" customWidth="1"/>
    <col min="22" max="22" width="11.57421875" style="2" customWidth="1"/>
    <col min="23" max="23" width="10.140625" style="2" bestFit="1" customWidth="1"/>
    <col min="24" max="16384" width="9.140625" style="2" customWidth="1"/>
  </cols>
  <sheetData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5" hidden="1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2:24" s="9" customFormat="1" ht="33.75" customHeight="1">
      <c r="B10" s="4" t="s">
        <v>0</v>
      </c>
      <c r="C10" s="5" t="s">
        <v>1</v>
      </c>
      <c r="D10" s="6" t="s">
        <v>2</v>
      </c>
      <c r="E10" s="6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  <c r="P10" s="5" t="s">
        <v>14</v>
      </c>
      <c r="Q10" s="5" t="s">
        <v>15</v>
      </c>
      <c r="R10" s="5" t="s">
        <v>16</v>
      </c>
      <c r="S10" s="5" t="s">
        <v>17</v>
      </c>
      <c r="T10" s="7" t="s">
        <v>18</v>
      </c>
      <c r="U10" s="7" t="s">
        <v>19</v>
      </c>
      <c r="V10" s="8" t="s">
        <v>20</v>
      </c>
      <c r="W10" s="8" t="s">
        <v>21</v>
      </c>
      <c r="X10" s="8"/>
    </row>
    <row r="11" spans="2:24" ht="3" customHeight="1" thickBo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" customHeight="1" outlineLevel="1">
      <c r="B12" s="13" t="s">
        <v>22</v>
      </c>
      <c r="C12" s="14">
        <f aca="true" t="shared" si="0" ref="C12:C23">_xlfn.IFERROR(VLOOKUP($B12,$B$83:$F$138,2,FALSE),0)</f>
        <v>1203602</v>
      </c>
      <c r="D12" s="14">
        <f aca="true" t="shared" si="1" ref="D12:D23">_xlfn.IFERROR(VLOOKUP(B12,$B$83:$D$138,3,FALSE),0)</f>
        <v>353872</v>
      </c>
      <c r="E12" s="14">
        <f aca="true" t="shared" si="2" ref="E12:E23">_xlfn.IFERROR(VLOOKUP($B12,$B$83:$E$138,4,FALSE),0)</f>
        <v>85832</v>
      </c>
      <c r="F12" s="14">
        <f aca="true" t="shared" si="3" ref="F12:F23">_xlfn.IFERROR(VLOOKUP($B12,$B$83:$F$138,5,FALSE),0)</f>
        <v>828598</v>
      </c>
      <c r="G12" s="14">
        <f aca="true" t="shared" si="4" ref="G12:G23">_xlfn.IFERROR(VLOOKUP($B12,$B$83:$G$138,6,FALSE),0)</f>
        <v>0</v>
      </c>
      <c r="H12" s="14">
        <f aca="true" t="shared" si="5" ref="H12:H23">_xlfn.IFERROR(VLOOKUP($B12,$B$83:$H$138,7,FALSE),0)</f>
        <v>904010</v>
      </c>
      <c r="I12" s="14">
        <f aca="true" t="shared" si="6" ref="I12:I23">_xlfn.IFERROR(VLOOKUP($B12,$B$83:$I$138,8,FALSE),0)</f>
        <v>681496</v>
      </c>
      <c r="J12" s="14">
        <f aca="true" t="shared" si="7" ref="J12:J23">_xlfn.IFERROR(VLOOKUP($B12,$B$83:$J$138,9,FALSE),0)</f>
        <v>686610</v>
      </c>
      <c r="K12" s="14">
        <f aca="true" t="shared" si="8" ref="K12:K23">_xlfn.IFERROR(VLOOKUP($B12,$B$83:$K$138,10,FALSE),0)</f>
        <v>1461106</v>
      </c>
      <c r="L12" s="14">
        <f aca="true" t="shared" si="9" ref="L12:L23">_xlfn.IFERROR(VLOOKUP($B12,$B$83:$L$138,11,FALSE),0)</f>
        <v>1332997</v>
      </c>
      <c r="M12" s="14">
        <f aca="true" t="shared" si="10" ref="M12:M23">_xlfn.IFERROR(VLOOKUP($B12,$B$83:$M$138,12,FALSE),0)</f>
        <v>0</v>
      </c>
      <c r="N12" s="14">
        <f>(_xlfn.IFERROR(VLOOKUP($B12,$B$83:$N$138,13,FALSE),0))</f>
        <v>10738259</v>
      </c>
      <c r="O12" s="14">
        <f aca="true" t="shared" si="11" ref="O12:O23">_xlfn.IFERROR(VLOOKUP($B12,$B$83:$P$138,14,FALSE),0)</f>
        <v>6851702</v>
      </c>
      <c r="P12" s="14">
        <f aca="true" t="shared" si="12" ref="P12:P23">_xlfn.IFERROR(VLOOKUP($B12,$B$83:$P$138,15,FALSE),0)</f>
        <v>9048031</v>
      </c>
      <c r="Q12" s="15">
        <f aca="true" t="shared" si="13" ref="Q12:Q23">_xlfn.IFERROR(VLOOKUP($B12,$B$83:$R$138,16,FALSE),0)</f>
        <v>808612</v>
      </c>
      <c r="R12" s="15">
        <f aca="true" t="shared" si="14" ref="R12:R23">_xlfn.IFERROR(VLOOKUP($B12,$B$83:$R$138,17,FALSE),0)</f>
        <v>2336749</v>
      </c>
      <c r="S12" s="15">
        <f aca="true" t="shared" si="15" ref="S12:S23">_xlfn.IFERROR(VLOOKUP($B12,$B$83:$T$138,18,FALSE),0)</f>
        <v>5702934</v>
      </c>
      <c r="T12" s="15">
        <f aca="true" t="shared" si="16" ref="T12:T23">_xlfn.IFERROR(VLOOKUP($B12,$B$83:$T$138,19,FALSE),0)</f>
        <v>43024410</v>
      </c>
      <c r="U12" s="15">
        <f aca="true" t="shared" si="17" ref="U12:U23">_xlfn.IFERROR(VLOOKUP($B12,$B$83:$V$138,20,FALSE),0)</f>
        <v>41566549</v>
      </c>
      <c r="V12" s="16">
        <f>T12-U12</f>
        <v>1457861</v>
      </c>
      <c r="W12" s="17">
        <f aca="true" t="shared" si="18" ref="W12:W71">IF(U12=0,100%,V12/U12)</f>
        <v>0.03507293809741097</v>
      </c>
      <c r="X12" s="17"/>
    </row>
    <row r="13" spans="2:24" ht="12" customHeight="1" hidden="1" outlineLevel="1">
      <c r="B13" s="13" t="s">
        <v>23</v>
      </c>
      <c r="C13" s="18">
        <f t="shared" si="0"/>
        <v>0</v>
      </c>
      <c r="D13" s="18">
        <f t="shared" si="1"/>
        <v>0</v>
      </c>
      <c r="E13" s="18">
        <f t="shared" si="2"/>
        <v>0</v>
      </c>
      <c r="F13" s="18">
        <f t="shared" si="3"/>
        <v>0</v>
      </c>
      <c r="G13" s="18">
        <f t="shared" si="4"/>
        <v>0</v>
      </c>
      <c r="H13" s="18">
        <f t="shared" si="5"/>
        <v>0</v>
      </c>
      <c r="I13" s="18">
        <f t="shared" si="6"/>
        <v>0</v>
      </c>
      <c r="J13" s="18">
        <f t="shared" si="7"/>
        <v>0</v>
      </c>
      <c r="K13" s="18">
        <f t="shared" si="8"/>
        <v>0</v>
      </c>
      <c r="L13" s="18">
        <f t="shared" si="9"/>
        <v>0</v>
      </c>
      <c r="M13" s="18">
        <f t="shared" si="10"/>
        <v>0</v>
      </c>
      <c r="N13" s="18">
        <f>(_xlfn.IFERROR(VLOOKUP($B13,$B$83:$N$138,13,FALSE),0))+0</f>
        <v>0</v>
      </c>
      <c r="O13" s="18">
        <f t="shared" si="11"/>
        <v>0</v>
      </c>
      <c r="P13" s="18">
        <f t="shared" si="12"/>
        <v>0</v>
      </c>
      <c r="Q13" s="19">
        <f t="shared" si="13"/>
        <v>0</v>
      </c>
      <c r="R13" s="19">
        <f t="shared" si="14"/>
        <v>0</v>
      </c>
      <c r="S13" s="19">
        <f t="shared" si="15"/>
        <v>0</v>
      </c>
      <c r="T13" s="19">
        <f t="shared" si="16"/>
        <v>0</v>
      </c>
      <c r="U13" s="19">
        <f t="shared" si="17"/>
        <v>0</v>
      </c>
      <c r="V13" s="20">
        <f>T13-U13</f>
        <v>0</v>
      </c>
      <c r="W13" s="17">
        <f t="shared" si="18"/>
        <v>1</v>
      </c>
      <c r="X13" s="17"/>
    </row>
    <row r="14" spans="2:24" ht="12" customHeight="1" outlineLevel="1">
      <c r="B14" s="13" t="s">
        <v>24</v>
      </c>
      <c r="C14" s="18">
        <f t="shared" si="0"/>
        <v>0</v>
      </c>
      <c r="D14" s="18">
        <f t="shared" si="1"/>
        <v>0</v>
      </c>
      <c r="E14" s="18">
        <f t="shared" si="2"/>
        <v>0</v>
      </c>
      <c r="F14" s="18">
        <f t="shared" si="3"/>
        <v>0</v>
      </c>
      <c r="G14" s="18">
        <f t="shared" si="4"/>
        <v>0</v>
      </c>
      <c r="H14" s="18">
        <f t="shared" si="5"/>
        <v>47270</v>
      </c>
      <c r="I14" s="18">
        <f t="shared" si="6"/>
        <v>0</v>
      </c>
      <c r="J14" s="18">
        <f t="shared" si="7"/>
        <v>128045</v>
      </c>
      <c r="K14" s="18">
        <f t="shared" si="8"/>
        <v>0</v>
      </c>
      <c r="L14" s="18">
        <f t="shared" si="9"/>
        <v>0</v>
      </c>
      <c r="M14" s="18">
        <f t="shared" si="10"/>
        <v>0</v>
      </c>
      <c r="N14" s="18">
        <f>(_xlfn.IFERROR(VLOOKUP($B14,$B$83:$N$138,13,FALSE),0))+0</f>
        <v>0</v>
      </c>
      <c r="O14" s="18">
        <f t="shared" si="11"/>
        <v>0</v>
      </c>
      <c r="P14" s="18">
        <f t="shared" si="12"/>
        <v>0</v>
      </c>
      <c r="Q14" s="19">
        <f t="shared" si="13"/>
        <v>0</v>
      </c>
      <c r="R14" s="19">
        <f t="shared" si="14"/>
        <v>0</v>
      </c>
      <c r="S14" s="19">
        <f t="shared" si="15"/>
        <v>0</v>
      </c>
      <c r="T14" s="19">
        <f t="shared" si="16"/>
        <v>175315</v>
      </c>
      <c r="U14" s="19">
        <f t="shared" si="17"/>
        <v>174760</v>
      </c>
      <c r="V14" s="20">
        <f>T14-U14</f>
        <v>555</v>
      </c>
      <c r="W14" s="17">
        <f t="shared" si="18"/>
        <v>0.0031757839322499428</v>
      </c>
      <c r="X14" s="17"/>
    </row>
    <row r="15" spans="2:24" ht="12" customHeight="1" outlineLevel="1">
      <c r="B15" s="13" t="s">
        <v>25</v>
      </c>
      <c r="C15" s="18">
        <f t="shared" si="0"/>
        <v>456</v>
      </c>
      <c r="D15" s="18">
        <f t="shared" si="1"/>
        <v>0</v>
      </c>
      <c r="E15" s="18">
        <f t="shared" si="2"/>
        <v>0</v>
      </c>
      <c r="F15" s="18">
        <f t="shared" si="3"/>
        <v>0</v>
      </c>
      <c r="G15" s="18">
        <f t="shared" si="4"/>
        <v>0</v>
      </c>
      <c r="H15" s="18">
        <f t="shared" si="5"/>
        <v>2396</v>
      </c>
      <c r="I15" s="18">
        <f t="shared" si="6"/>
        <v>0</v>
      </c>
      <c r="J15" s="18">
        <f t="shared" si="7"/>
        <v>0</v>
      </c>
      <c r="K15" s="18">
        <f t="shared" si="8"/>
        <v>1947</v>
      </c>
      <c r="L15" s="18">
        <f t="shared" si="9"/>
        <v>1554</v>
      </c>
      <c r="M15" s="18">
        <f t="shared" si="10"/>
        <v>0</v>
      </c>
      <c r="N15" s="18">
        <f>(_xlfn.IFERROR(VLOOKUP($B15,$B$83:$N$138,13,FALSE),0))</f>
        <v>366132</v>
      </c>
      <c r="O15" s="18">
        <f t="shared" si="11"/>
        <v>85663</v>
      </c>
      <c r="P15" s="18">
        <f t="shared" si="12"/>
        <v>340000</v>
      </c>
      <c r="Q15" s="19">
        <f t="shared" si="13"/>
        <v>0</v>
      </c>
      <c r="R15" s="19">
        <f t="shared" si="14"/>
        <v>0</v>
      </c>
      <c r="S15" s="19">
        <f t="shared" si="15"/>
        <v>23028</v>
      </c>
      <c r="T15" s="19">
        <f t="shared" si="16"/>
        <v>821176</v>
      </c>
      <c r="U15" s="19">
        <f t="shared" si="17"/>
        <v>821176</v>
      </c>
      <c r="V15" s="20">
        <f>T15-U15</f>
        <v>0</v>
      </c>
      <c r="W15" s="17">
        <f t="shared" si="18"/>
        <v>0</v>
      </c>
      <c r="X15" s="17"/>
    </row>
    <row r="16" spans="2:24" ht="12" customHeight="1" outlineLevel="1">
      <c r="B16" s="13" t="s">
        <v>26</v>
      </c>
      <c r="C16" s="18">
        <f t="shared" si="0"/>
        <v>0</v>
      </c>
      <c r="D16" s="18">
        <f t="shared" si="1"/>
        <v>0</v>
      </c>
      <c r="E16" s="18">
        <f t="shared" si="2"/>
        <v>0</v>
      </c>
      <c r="F16" s="18">
        <f t="shared" si="3"/>
        <v>0</v>
      </c>
      <c r="G16" s="18">
        <f t="shared" si="4"/>
        <v>0</v>
      </c>
      <c r="H16" s="18">
        <f t="shared" si="5"/>
        <v>0</v>
      </c>
      <c r="I16" s="18">
        <f t="shared" si="6"/>
        <v>0</v>
      </c>
      <c r="J16" s="18">
        <f t="shared" si="7"/>
        <v>0</v>
      </c>
      <c r="K16" s="18">
        <f t="shared" si="8"/>
        <v>0</v>
      </c>
      <c r="L16" s="18">
        <f t="shared" si="9"/>
        <v>0</v>
      </c>
      <c r="M16" s="18">
        <f t="shared" si="10"/>
        <v>8754657</v>
      </c>
      <c r="N16" s="18">
        <f>(_xlfn.IFERROR(VLOOKUP($B16,$B$83:$N$138,13,FALSE),0))</f>
        <v>0</v>
      </c>
      <c r="O16" s="18">
        <f t="shared" si="11"/>
        <v>0</v>
      </c>
      <c r="P16" s="18">
        <f t="shared" si="12"/>
        <v>0</v>
      </c>
      <c r="Q16" s="19">
        <f t="shared" si="13"/>
        <v>0</v>
      </c>
      <c r="R16" s="19">
        <f t="shared" si="14"/>
        <v>0</v>
      </c>
      <c r="S16" s="19">
        <f t="shared" si="15"/>
        <v>0</v>
      </c>
      <c r="T16" s="19">
        <f t="shared" si="16"/>
        <v>8754657</v>
      </c>
      <c r="U16" s="19">
        <f t="shared" si="17"/>
        <v>9161931</v>
      </c>
      <c r="V16" s="20">
        <f>T16-U16</f>
        <v>-407274</v>
      </c>
      <c r="W16" s="17">
        <f t="shared" si="18"/>
        <v>-0.04445285606276668</v>
      </c>
      <c r="X16" s="17"/>
    </row>
    <row r="17" spans="2:24" ht="12" customHeight="1" outlineLevel="1">
      <c r="B17" s="13" t="s">
        <v>27</v>
      </c>
      <c r="C17" s="18">
        <f t="shared" si="0"/>
        <v>151085</v>
      </c>
      <c r="D17" s="18">
        <f t="shared" si="1"/>
        <v>35754</v>
      </c>
      <c r="E17" s="18">
        <f t="shared" si="2"/>
        <v>10875</v>
      </c>
      <c r="F17" s="18">
        <f t="shared" si="3"/>
        <v>106230</v>
      </c>
      <c r="G17" s="18">
        <f t="shared" si="4"/>
        <v>0</v>
      </c>
      <c r="H17" s="18">
        <f t="shared" si="5"/>
        <v>114688</v>
      </c>
      <c r="I17" s="18">
        <f t="shared" si="6"/>
        <v>85868</v>
      </c>
      <c r="J17" s="18">
        <f t="shared" si="7"/>
        <v>84889</v>
      </c>
      <c r="K17" s="18">
        <f t="shared" si="8"/>
        <v>185140</v>
      </c>
      <c r="L17" s="18">
        <f t="shared" si="9"/>
        <v>167663</v>
      </c>
      <c r="M17" s="21">
        <f t="shared" si="10"/>
        <v>0</v>
      </c>
      <c r="N17" s="18">
        <f>(_xlfn.IFERROR(VLOOKUP($B17,$B$83:$N$138,13,FALSE),0))</f>
        <v>1353062</v>
      </c>
      <c r="O17" s="18">
        <f t="shared" si="11"/>
        <v>872943</v>
      </c>
      <c r="P17" s="18">
        <f t="shared" si="12"/>
        <v>1149679</v>
      </c>
      <c r="Q17" s="19">
        <f t="shared" si="13"/>
        <v>99546</v>
      </c>
      <c r="R17" s="19">
        <f t="shared" si="14"/>
        <v>291978</v>
      </c>
      <c r="S17" s="19">
        <f t="shared" si="15"/>
        <v>725806</v>
      </c>
      <c r="T17" s="19">
        <f t="shared" si="16"/>
        <v>5435206</v>
      </c>
      <c r="U17" s="19">
        <f t="shared" si="17"/>
        <v>5529824</v>
      </c>
      <c r="V17" s="20">
        <f>T17-U17</f>
        <v>-94618</v>
      </c>
      <c r="W17" s="17">
        <f t="shared" si="18"/>
        <v>-0.01711049031578582</v>
      </c>
      <c r="X17" s="17"/>
    </row>
    <row r="18" spans="2:24" ht="12" customHeight="1" outlineLevel="1">
      <c r="B18" s="13" t="s">
        <v>28</v>
      </c>
      <c r="C18" s="18">
        <f t="shared" si="0"/>
        <v>0</v>
      </c>
      <c r="D18" s="18">
        <f t="shared" si="1"/>
        <v>0</v>
      </c>
      <c r="E18" s="18">
        <f t="shared" si="2"/>
        <v>0</v>
      </c>
      <c r="F18" s="18">
        <f t="shared" si="3"/>
        <v>0</v>
      </c>
      <c r="G18" s="18">
        <f t="shared" si="4"/>
        <v>0</v>
      </c>
      <c r="H18" s="18">
        <f t="shared" si="5"/>
        <v>5994</v>
      </c>
      <c r="I18" s="18">
        <f t="shared" si="6"/>
        <v>0</v>
      </c>
      <c r="J18" s="18">
        <f t="shared" si="7"/>
        <v>16236</v>
      </c>
      <c r="K18" s="18">
        <f t="shared" si="8"/>
        <v>0</v>
      </c>
      <c r="L18" s="18">
        <f t="shared" si="9"/>
        <v>0</v>
      </c>
      <c r="M18" s="18">
        <f t="shared" si="10"/>
        <v>0</v>
      </c>
      <c r="N18" s="18">
        <f aca="true" t="shared" si="19" ref="N18:N23">(_xlfn.IFERROR(VLOOKUP($B18,$B$83:$N$138,13,FALSE),0))+0</f>
        <v>0</v>
      </c>
      <c r="O18" s="18">
        <f t="shared" si="11"/>
        <v>0</v>
      </c>
      <c r="P18" s="18">
        <f t="shared" si="12"/>
        <v>0</v>
      </c>
      <c r="Q18" s="19">
        <f t="shared" si="13"/>
        <v>0</v>
      </c>
      <c r="R18" s="19">
        <f t="shared" si="14"/>
        <v>0</v>
      </c>
      <c r="S18" s="19">
        <f t="shared" si="15"/>
        <v>0</v>
      </c>
      <c r="T18" s="19">
        <f t="shared" si="16"/>
        <v>22230</v>
      </c>
      <c r="U18" s="19">
        <f t="shared" si="17"/>
        <v>23085</v>
      </c>
      <c r="V18" s="20">
        <f>T18-U18</f>
        <v>-855</v>
      </c>
      <c r="W18" s="17">
        <f t="shared" si="18"/>
        <v>-0.037037037037037035</v>
      </c>
      <c r="X18" s="17"/>
    </row>
    <row r="19" spans="2:24" ht="12" customHeight="1" hidden="1" outlineLevel="1">
      <c r="B19" s="13" t="s">
        <v>29</v>
      </c>
      <c r="C19" s="18">
        <f t="shared" si="0"/>
        <v>0</v>
      </c>
      <c r="D19" s="18">
        <f t="shared" si="1"/>
        <v>0</v>
      </c>
      <c r="E19" s="18">
        <f t="shared" si="2"/>
        <v>0</v>
      </c>
      <c r="F19" s="18">
        <f t="shared" si="3"/>
        <v>0</v>
      </c>
      <c r="G19" s="18">
        <f t="shared" si="4"/>
        <v>0</v>
      </c>
      <c r="H19" s="18">
        <f t="shared" si="5"/>
        <v>0</v>
      </c>
      <c r="I19" s="18">
        <f t="shared" si="6"/>
        <v>0</v>
      </c>
      <c r="J19" s="18">
        <f t="shared" si="7"/>
        <v>0</v>
      </c>
      <c r="K19" s="18">
        <f t="shared" si="8"/>
        <v>0</v>
      </c>
      <c r="L19" s="18">
        <f t="shared" si="9"/>
        <v>0</v>
      </c>
      <c r="M19" s="18">
        <f t="shared" si="10"/>
        <v>0</v>
      </c>
      <c r="N19" s="18">
        <f t="shared" si="19"/>
        <v>0</v>
      </c>
      <c r="O19" s="18">
        <f t="shared" si="11"/>
        <v>0</v>
      </c>
      <c r="P19" s="18">
        <f t="shared" si="12"/>
        <v>0</v>
      </c>
      <c r="Q19" s="19">
        <f t="shared" si="13"/>
        <v>0</v>
      </c>
      <c r="R19" s="19">
        <f t="shared" si="14"/>
        <v>0</v>
      </c>
      <c r="S19" s="19">
        <f t="shared" si="15"/>
        <v>0</v>
      </c>
      <c r="T19" s="19">
        <f t="shared" si="16"/>
        <v>0</v>
      </c>
      <c r="U19" s="19">
        <f t="shared" si="17"/>
        <v>0</v>
      </c>
      <c r="V19" s="20">
        <f>T19-U19</f>
        <v>0</v>
      </c>
      <c r="W19" s="17">
        <f t="shared" si="18"/>
        <v>1</v>
      </c>
      <c r="X19" s="17"/>
    </row>
    <row r="20" spans="2:24" ht="12" customHeight="1" outlineLevel="1">
      <c r="B20" s="13" t="s">
        <v>30</v>
      </c>
      <c r="C20" s="18">
        <f t="shared" si="0"/>
        <v>0</v>
      </c>
      <c r="D20" s="18">
        <f t="shared" si="1"/>
        <v>0</v>
      </c>
      <c r="E20" s="18">
        <f t="shared" si="2"/>
        <v>0</v>
      </c>
      <c r="F20" s="18">
        <f t="shared" si="3"/>
        <v>0</v>
      </c>
      <c r="G20" s="18">
        <f t="shared" si="4"/>
        <v>0</v>
      </c>
      <c r="H20" s="18">
        <f t="shared" si="5"/>
        <v>31575</v>
      </c>
      <c r="I20" s="18">
        <f t="shared" si="6"/>
        <v>0</v>
      </c>
      <c r="J20" s="18">
        <f t="shared" si="7"/>
        <v>0</v>
      </c>
      <c r="K20" s="18">
        <f t="shared" si="8"/>
        <v>0</v>
      </c>
      <c r="L20" s="18">
        <f t="shared" si="9"/>
        <v>0</v>
      </c>
      <c r="M20" s="18">
        <f t="shared" si="10"/>
        <v>0</v>
      </c>
      <c r="N20" s="18">
        <f t="shared" si="19"/>
        <v>0</v>
      </c>
      <c r="O20" s="18">
        <f t="shared" si="11"/>
        <v>0</v>
      </c>
      <c r="P20" s="18">
        <f t="shared" si="12"/>
        <v>0</v>
      </c>
      <c r="Q20" s="19">
        <f t="shared" si="13"/>
        <v>0</v>
      </c>
      <c r="R20" s="19">
        <f t="shared" si="14"/>
        <v>0</v>
      </c>
      <c r="S20" s="19">
        <f t="shared" si="15"/>
        <v>0</v>
      </c>
      <c r="T20" s="19">
        <f t="shared" si="16"/>
        <v>31575</v>
      </c>
      <c r="U20" s="19">
        <f t="shared" si="17"/>
        <v>31575</v>
      </c>
      <c r="V20" s="20">
        <f>T20-U20</f>
        <v>0</v>
      </c>
      <c r="W20" s="17">
        <f t="shared" si="18"/>
        <v>0</v>
      </c>
      <c r="X20" s="17"/>
    </row>
    <row r="21" spans="2:24" ht="12" customHeight="1" outlineLevel="1">
      <c r="B21" s="13" t="s">
        <v>31</v>
      </c>
      <c r="C21" s="18">
        <f t="shared" si="0"/>
        <v>0</v>
      </c>
      <c r="D21" s="18">
        <f t="shared" si="1"/>
        <v>0</v>
      </c>
      <c r="E21" s="18">
        <f t="shared" si="2"/>
        <v>0</v>
      </c>
      <c r="F21" s="18">
        <f t="shared" si="3"/>
        <v>0</v>
      </c>
      <c r="G21" s="18">
        <f t="shared" si="4"/>
        <v>0</v>
      </c>
      <c r="H21" s="18">
        <f t="shared" si="5"/>
        <v>0</v>
      </c>
      <c r="I21" s="18">
        <f t="shared" si="6"/>
        <v>0</v>
      </c>
      <c r="J21" s="18">
        <f t="shared" si="7"/>
        <v>0</v>
      </c>
      <c r="K21" s="18">
        <f t="shared" si="8"/>
        <v>0</v>
      </c>
      <c r="L21" s="18">
        <f t="shared" si="9"/>
        <v>0</v>
      </c>
      <c r="M21" s="18">
        <f t="shared" si="10"/>
        <v>227386</v>
      </c>
      <c r="N21" s="18">
        <f t="shared" si="19"/>
        <v>0</v>
      </c>
      <c r="O21" s="18">
        <f t="shared" si="11"/>
        <v>0</v>
      </c>
      <c r="P21" s="18">
        <f t="shared" si="12"/>
        <v>0</v>
      </c>
      <c r="Q21" s="19">
        <f t="shared" si="13"/>
        <v>0</v>
      </c>
      <c r="R21" s="19">
        <f t="shared" si="14"/>
        <v>0</v>
      </c>
      <c r="S21" s="19">
        <f t="shared" si="15"/>
        <v>0</v>
      </c>
      <c r="T21" s="19">
        <f t="shared" si="16"/>
        <v>227386</v>
      </c>
      <c r="U21" s="19">
        <f t="shared" si="17"/>
        <v>227386</v>
      </c>
      <c r="V21" s="20">
        <f>T21-U21</f>
        <v>0</v>
      </c>
      <c r="W21" s="17">
        <f t="shared" si="18"/>
        <v>0</v>
      </c>
      <c r="X21" s="17"/>
    </row>
    <row r="22" spans="2:24" ht="12" customHeight="1" outlineLevel="1">
      <c r="B22" s="13" t="s">
        <v>32</v>
      </c>
      <c r="C22" s="18">
        <f t="shared" si="0"/>
        <v>0</v>
      </c>
      <c r="D22" s="18">
        <f t="shared" si="1"/>
        <v>0</v>
      </c>
      <c r="E22" s="18">
        <f t="shared" si="2"/>
        <v>0</v>
      </c>
      <c r="F22" s="18">
        <f t="shared" si="3"/>
        <v>0</v>
      </c>
      <c r="G22" s="18">
        <f t="shared" si="4"/>
        <v>0</v>
      </c>
      <c r="H22" s="18">
        <f t="shared" si="5"/>
        <v>0</v>
      </c>
      <c r="I22" s="18">
        <f t="shared" si="6"/>
        <v>0</v>
      </c>
      <c r="J22" s="18">
        <f t="shared" si="7"/>
        <v>0</v>
      </c>
      <c r="K22" s="18">
        <f t="shared" si="8"/>
        <v>0</v>
      </c>
      <c r="L22" s="18">
        <f t="shared" si="9"/>
        <v>0</v>
      </c>
      <c r="M22" s="91">
        <f t="shared" si="10"/>
        <v>3100000</v>
      </c>
      <c r="N22" s="18">
        <f t="shared" si="19"/>
        <v>0</v>
      </c>
      <c r="O22" s="18">
        <f t="shared" si="11"/>
        <v>0</v>
      </c>
      <c r="P22" s="18">
        <f t="shared" si="12"/>
        <v>0</v>
      </c>
      <c r="Q22" s="19">
        <f t="shared" si="13"/>
        <v>0</v>
      </c>
      <c r="R22" s="19">
        <f t="shared" si="14"/>
        <v>0</v>
      </c>
      <c r="S22" s="19">
        <f t="shared" si="15"/>
        <v>0</v>
      </c>
      <c r="T22" s="19">
        <f t="shared" si="16"/>
        <v>3100000</v>
      </c>
      <c r="U22" s="19">
        <f t="shared" si="17"/>
        <v>0</v>
      </c>
      <c r="V22" s="20">
        <f>T22-U22</f>
        <v>3100000</v>
      </c>
      <c r="W22" s="17">
        <f t="shared" si="18"/>
        <v>1</v>
      </c>
      <c r="X22" s="17"/>
    </row>
    <row r="23" spans="2:24" ht="12" customHeight="1" outlineLevel="1">
      <c r="B23" s="13" t="s">
        <v>33</v>
      </c>
      <c r="C23" s="18">
        <f t="shared" si="0"/>
        <v>0</v>
      </c>
      <c r="D23" s="18">
        <f t="shared" si="1"/>
        <v>0</v>
      </c>
      <c r="E23" s="18">
        <f t="shared" si="2"/>
        <v>0</v>
      </c>
      <c r="F23" s="18">
        <f t="shared" si="3"/>
        <v>0</v>
      </c>
      <c r="G23" s="18">
        <f t="shared" si="4"/>
        <v>0</v>
      </c>
      <c r="H23" s="18">
        <f t="shared" si="5"/>
        <v>0</v>
      </c>
      <c r="I23" s="18">
        <f t="shared" si="6"/>
        <v>0</v>
      </c>
      <c r="J23" s="18">
        <f t="shared" si="7"/>
        <v>0</v>
      </c>
      <c r="K23" s="18">
        <f t="shared" si="8"/>
        <v>0</v>
      </c>
      <c r="L23" s="18">
        <f t="shared" si="9"/>
        <v>0</v>
      </c>
      <c r="M23" s="18">
        <f t="shared" si="10"/>
        <v>327941</v>
      </c>
      <c r="N23" s="18">
        <f t="shared" si="19"/>
        <v>0</v>
      </c>
      <c r="O23" s="18">
        <f t="shared" si="11"/>
        <v>0</v>
      </c>
      <c r="P23" s="18">
        <f t="shared" si="12"/>
        <v>0</v>
      </c>
      <c r="Q23" s="19">
        <f t="shared" si="13"/>
        <v>0</v>
      </c>
      <c r="R23" s="19">
        <f t="shared" si="14"/>
        <v>0</v>
      </c>
      <c r="S23" s="19">
        <f t="shared" si="15"/>
        <v>0</v>
      </c>
      <c r="T23" s="19">
        <f t="shared" si="16"/>
        <v>327941</v>
      </c>
      <c r="U23" s="19">
        <f t="shared" si="17"/>
        <v>382573</v>
      </c>
      <c r="V23" s="20">
        <f>T23-U23</f>
        <v>-54632</v>
      </c>
      <c r="W23" s="17">
        <f t="shared" si="18"/>
        <v>-0.14280150454945853</v>
      </c>
      <c r="X23" s="17"/>
    </row>
    <row r="24" spans="2:24" s="25" customFormat="1" ht="12" customHeight="1" outlineLevel="1">
      <c r="B24" s="22" t="s">
        <v>34</v>
      </c>
      <c r="C24" s="23">
        <f>SUM(C12:C23)</f>
        <v>1355143</v>
      </c>
      <c r="D24" s="23">
        <f aca="true" t="shared" si="20" ref="D24:V24">SUM(D12:D23)</f>
        <v>389626</v>
      </c>
      <c r="E24" s="23">
        <f t="shared" si="20"/>
        <v>96707</v>
      </c>
      <c r="F24" s="23">
        <f t="shared" si="20"/>
        <v>934828</v>
      </c>
      <c r="G24" s="23">
        <f t="shared" si="20"/>
        <v>0</v>
      </c>
      <c r="H24" s="23">
        <f t="shared" si="20"/>
        <v>1105933</v>
      </c>
      <c r="I24" s="23">
        <f t="shared" si="20"/>
        <v>767364</v>
      </c>
      <c r="J24" s="23">
        <f t="shared" si="20"/>
        <v>915780</v>
      </c>
      <c r="K24" s="23">
        <f t="shared" si="20"/>
        <v>1648193</v>
      </c>
      <c r="L24" s="23">
        <f t="shared" si="20"/>
        <v>1502214</v>
      </c>
      <c r="M24" s="23">
        <f t="shared" si="20"/>
        <v>12409984</v>
      </c>
      <c r="N24" s="23">
        <f t="shared" si="20"/>
        <v>12457453</v>
      </c>
      <c r="O24" s="23">
        <f t="shared" si="20"/>
        <v>7810308</v>
      </c>
      <c r="P24" s="23">
        <f t="shared" si="20"/>
        <v>10537710</v>
      </c>
      <c r="Q24" s="23">
        <f t="shared" si="20"/>
        <v>908158</v>
      </c>
      <c r="R24" s="23">
        <f t="shared" si="20"/>
        <v>2628727</v>
      </c>
      <c r="S24" s="23">
        <f t="shared" si="20"/>
        <v>6451768</v>
      </c>
      <c r="T24" s="23">
        <f t="shared" si="20"/>
        <v>61919896</v>
      </c>
      <c r="U24" s="23">
        <f>SUM(U12:U23)</f>
        <v>57918859</v>
      </c>
      <c r="V24" s="23">
        <f t="shared" si="20"/>
        <v>4001037</v>
      </c>
      <c r="W24" s="24">
        <f>IF(U24=0,100%,V24/U24)</f>
        <v>0.06908003833431871</v>
      </c>
      <c r="X24" s="24"/>
    </row>
    <row r="25" spans="2:24" ht="12" customHeight="1" outlineLevel="1">
      <c r="B25" s="13" t="s">
        <v>35</v>
      </c>
      <c r="C25" s="18">
        <f aca="true" t="shared" si="21" ref="C25:C33">_xlfn.IFERROR(VLOOKUP($B25,$B$83:$F$138,2,FALSE),0)</f>
        <v>1023</v>
      </c>
      <c r="D25" s="18">
        <f aca="true" t="shared" si="22" ref="D25:D33">_xlfn.IFERROR(VLOOKUP(B25,$B$83:$D$138,3,FALSE),0)</f>
        <v>273641</v>
      </c>
      <c r="E25" s="18">
        <f aca="true" t="shared" si="23" ref="E25:E33">_xlfn.IFERROR(VLOOKUP($B25,$B$83:$E$138,4,FALSE),0)</f>
        <v>0</v>
      </c>
      <c r="F25" s="18">
        <f aca="true" t="shared" si="24" ref="F25:F33">_xlfn.IFERROR(VLOOKUP($B25,$B$83:$F$138,5,FALSE),0)</f>
        <v>659474</v>
      </c>
      <c r="G25" s="18">
        <f aca="true" t="shared" si="25" ref="G25:G33">_xlfn.IFERROR(VLOOKUP($B25,$B$83:$G$138,6,FALSE),0)</f>
        <v>0</v>
      </c>
      <c r="H25" s="18">
        <f aca="true" t="shared" si="26" ref="H25:H33">_xlfn.IFERROR(VLOOKUP($B25,$B$83:$H$138,7,FALSE),0)</f>
        <v>162551</v>
      </c>
      <c r="I25" s="18">
        <f aca="true" t="shared" si="27" ref="I25:I33">_xlfn.IFERROR(VLOOKUP($B25,$B$83:$I$138,8,FALSE),0)</f>
        <v>197763</v>
      </c>
      <c r="J25" s="18">
        <f aca="true" t="shared" si="28" ref="J25:J33">_xlfn.IFERROR(VLOOKUP($B25,$B$83:$J$138,9,FALSE),0)</f>
        <v>0</v>
      </c>
      <c r="K25" s="18">
        <f aca="true" t="shared" si="29" ref="K25:K33">_xlfn.IFERROR(VLOOKUP($B25,$B$83:$K$138,10,FALSE),0)</f>
        <v>2030</v>
      </c>
      <c r="L25" s="18">
        <f aca="true" t="shared" si="30" ref="L25:L33">_xlfn.IFERROR(VLOOKUP($B25,$B$83:$L$138,11,FALSE),0)</f>
        <v>1807752</v>
      </c>
      <c r="M25" s="18">
        <f aca="true" t="shared" si="31" ref="M25:M33">_xlfn.IFERROR(VLOOKUP($B25,$B$83:$M$138,12,FALSE),0)</f>
        <v>0</v>
      </c>
      <c r="N25" s="18">
        <f aca="true" t="shared" si="32" ref="N25:N33">(_xlfn.IFERROR(VLOOKUP($B25,$B$83:$N$138,13,FALSE),0))</f>
        <v>9675338</v>
      </c>
      <c r="O25" s="18">
        <f aca="true" t="shared" si="33" ref="O25:O33">_xlfn.IFERROR(VLOOKUP($B25,$B$83:$P$138,14,FALSE),0)</f>
        <v>0</v>
      </c>
      <c r="P25" s="18">
        <f aca="true" t="shared" si="34" ref="P25:P33">_xlfn.IFERROR(VLOOKUP($B25,$B$83:$P$138,15,FALSE),0)</f>
        <v>300000</v>
      </c>
      <c r="Q25" s="19">
        <f aca="true" t="shared" si="35" ref="Q25:Q33">_xlfn.IFERROR(VLOOKUP($B25,$B$83:$R$138,16,FALSE),0)</f>
        <v>0</v>
      </c>
      <c r="R25" s="19">
        <f aca="true" t="shared" si="36" ref="R25:R33">_xlfn.IFERROR(VLOOKUP($B25,$B$83:$R$138,17,FALSE),0)</f>
        <v>33080</v>
      </c>
      <c r="S25" s="19">
        <f aca="true" t="shared" si="37" ref="S25:S33">_xlfn.IFERROR(VLOOKUP($B25,$B$83:$T$138,18,FALSE),0)</f>
        <v>82852</v>
      </c>
      <c r="T25" s="19">
        <f aca="true" t="shared" si="38" ref="T25:T31">_xlfn.IFERROR(VLOOKUP($B25,$B$83:$T$138,19,FALSE),0)</f>
        <v>13195504</v>
      </c>
      <c r="U25" s="19">
        <f aca="true" t="shared" si="39" ref="U25:U33">_xlfn.IFERROR(VLOOKUP($B25,$B$83:$V$138,20,FALSE),0)</f>
        <v>14055481</v>
      </c>
      <c r="V25" s="20">
        <f>T25-U25</f>
        <v>-859977</v>
      </c>
      <c r="W25" s="17">
        <f t="shared" si="18"/>
        <v>-0.0611844589310035</v>
      </c>
      <c r="X25" s="17"/>
    </row>
    <row r="26" spans="2:24" ht="12" customHeight="1" outlineLevel="1">
      <c r="B26" s="13" t="s">
        <v>36</v>
      </c>
      <c r="C26" s="18">
        <f t="shared" si="21"/>
        <v>0</v>
      </c>
      <c r="D26" s="18">
        <f t="shared" si="22"/>
        <v>0</v>
      </c>
      <c r="E26" s="18">
        <f t="shared" si="23"/>
        <v>0</v>
      </c>
      <c r="F26" s="18">
        <f t="shared" si="24"/>
        <v>0</v>
      </c>
      <c r="G26" s="18">
        <f t="shared" si="25"/>
        <v>0</v>
      </c>
      <c r="H26" s="18">
        <f t="shared" si="26"/>
        <v>0</v>
      </c>
      <c r="I26" s="18">
        <f t="shared" si="27"/>
        <v>0</v>
      </c>
      <c r="J26" s="18">
        <f t="shared" si="28"/>
        <v>2086669</v>
      </c>
      <c r="K26" s="18">
        <f t="shared" si="29"/>
        <v>0</v>
      </c>
      <c r="L26" s="18">
        <f t="shared" si="30"/>
        <v>0</v>
      </c>
      <c r="M26" s="18">
        <f t="shared" si="31"/>
        <v>0</v>
      </c>
      <c r="N26" s="18">
        <f t="shared" si="32"/>
        <v>0</v>
      </c>
      <c r="O26" s="18">
        <f t="shared" si="33"/>
        <v>0</v>
      </c>
      <c r="P26" s="18">
        <f t="shared" si="34"/>
        <v>0</v>
      </c>
      <c r="Q26" s="19">
        <f t="shared" si="35"/>
        <v>0</v>
      </c>
      <c r="R26" s="19">
        <f t="shared" si="36"/>
        <v>0</v>
      </c>
      <c r="S26" s="19">
        <f t="shared" si="37"/>
        <v>0</v>
      </c>
      <c r="T26" s="19">
        <f t="shared" si="38"/>
        <v>2086669</v>
      </c>
      <c r="U26" s="19">
        <f t="shared" si="39"/>
        <v>2086669</v>
      </c>
      <c r="V26" s="20">
        <f>T26-U26</f>
        <v>0</v>
      </c>
      <c r="W26" s="17">
        <f t="shared" si="18"/>
        <v>0</v>
      </c>
      <c r="X26" s="17"/>
    </row>
    <row r="27" spans="2:24" ht="12" customHeight="1" outlineLevel="1">
      <c r="B27" s="13" t="s">
        <v>37</v>
      </c>
      <c r="C27" s="18">
        <f t="shared" si="21"/>
        <v>0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206029</v>
      </c>
      <c r="J27" s="18">
        <f t="shared" si="28"/>
        <v>0</v>
      </c>
      <c r="K27" s="18">
        <f t="shared" si="29"/>
        <v>0</v>
      </c>
      <c r="L27" s="18">
        <f t="shared" si="30"/>
        <v>0</v>
      </c>
      <c r="M27" s="18">
        <f t="shared" si="31"/>
        <v>0</v>
      </c>
      <c r="N27" s="18">
        <f t="shared" si="32"/>
        <v>0</v>
      </c>
      <c r="O27" s="18">
        <f t="shared" si="33"/>
        <v>0</v>
      </c>
      <c r="P27" s="18">
        <f t="shared" si="34"/>
        <v>0</v>
      </c>
      <c r="Q27" s="19">
        <f t="shared" si="35"/>
        <v>0</v>
      </c>
      <c r="R27" s="19">
        <f t="shared" si="36"/>
        <v>0</v>
      </c>
      <c r="S27" s="19">
        <f t="shared" si="37"/>
        <v>0</v>
      </c>
      <c r="T27" s="19">
        <f t="shared" si="38"/>
        <v>206029</v>
      </c>
      <c r="U27" s="19">
        <f t="shared" si="39"/>
        <v>198029</v>
      </c>
      <c r="V27" s="20">
        <f>T27-U27</f>
        <v>8000</v>
      </c>
      <c r="W27" s="17">
        <f t="shared" si="18"/>
        <v>0.04039812350716309</v>
      </c>
      <c r="X27" s="17"/>
    </row>
    <row r="28" spans="2:24" ht="12" customHeight="1" outlineLevel="1">
      <c r="B28" s="13" t="s">
        <v>38</v>
      </c>
      <c r="C28" s="18">
        <f t="shared" si="21"/>
        <v>0</v>
      </c>
      <c r="D28" s="18">
        <f t="shared" si="22"/>
        <v>0</v>
      </c>
      <c r="E28" s="18">
        <f t="shared" si="23"/>
        <v>0</v>
      </c>
      <c r="F28" s="18">
        <f t="shared" si="24"/>
        <v>345899</v>
      </c>
      <c r="G28" s="18">
        <f t="shared" si="25"/>
        <v>0</v>
      </c>
      <c r="H28" s="18">
        <f t="shared" si="26"/>
        <v>0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0</v>
      </c>
      <c r="M28" s="18">
        <f t="shared" si="31"/>
        <v>0</v>
      </c>
      <c r="N28" s="18">
        <f t="shared" si="32"/>
        <v>0</v>
      </c>
      <c r="O28" s="18">
        <f t="shared" si="33"/>
        <v>0</v>
      </c>
      <c r="P28" s="18">
        <f t="shared" si="34"/>
        <v>0</v>
      </c>
      <c r="Q28" s="19">
        <f t="shared" si="35"/>
        <v>0</v>
      </c>
      <c r="R28" s="19">
        <f t="shared" si="36"/>
        <v>0</v>
      </c>
      <c r="S28" s="19">
        <f t="shared" si="37"/>
        <v>0</v>
      </c>
      <c r="T28" s="19">
        <f t="shared" si="38"/>
        <v>345899</v>
      </c>
      <c r="U28" s="19">
        <f t="shared" si="39"/>
        <v>345899</v>
      </c>
      <c r="V28" s="20">
        <f>T28-U28</f>
        <v>0</v>
      </c>
      <c r="W28" s="17">
        <f t="shared" si="18"/>
        <v>0</v>
      </c>
      <c r="X28" s="17"/>
    </row>
    <row r="29" spans="2:24" ht="12" customHeight="1" outlineLevel="1">
      <c r="B29" s="13" t="s">
        <v>39</v>
      </c>
      <c r="C29" s="18">
        <f t="shared" si="21"/>
        <v>0</v>
      </c>
      <c r="D29" s="18">
        <f t="shared" si="22"/>
        <v>0</v>
      </c>
      <c r="E29" s="18">
        <f t="shared" si="23"/>
        <v>0</v>
      </c>
      <c r="F29" s="18">
        <f t="shared" si="24"/>
        <v>688199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8">
        <f t="shared" si="33"/>
        <v>0</v>
      </c>
      <c r="P29" s="18">
        <f t="shared" si="34"/>
        <v>0</v>
      </c>
      <c r="Q29" s="19">
        <f t="shared" si="35"/>
        <v>0</v>
      </c>
      <c r="R29" s="19">
        <f t="shared" si="36"/>
        <v>0</v>
      </c>
      <c r="S29" s="19">
        <f t="shared" si="37"/>
        <v>0</v>
      </c>
      <c r="T29" s="19">
        <f t="shared" si="38"/>
        <v>688199</v>
      </c>
      <c r="U29" s="19">
        <f t="shared" si="39"/>
        <v>1188199</v>
      </c>
      <c r="V29" s="20">
        <f>T29-U29</f>
        <v>-500000</v>
      </c>
      <c r="W29" s="17">
        <f t="shared" si="18"/>
        <v>-0.4208049325070969</v>
      </c>
      <c r="X29" s="17"/>
    </row>
    <row r="30" spans="2:24" ht="12" customHeight="1" outlineLevel="1">
      <c r="B30" s="13" t="s">
        <v>40</v>
      </c>
      <c r="C30" s="18">
        <f t="shared" si="21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8">
        <f t="shared" si="33"/>
        <v>0</v>
      </c>
      <c r="P30" s="18">
        <f t="shared" si="34"/>
        <v>0</v>
      </c>
      <c r="Q30" s="19">
        <f t="shared" si="35"/>
        <v>0</v>
      </c>
      <c r="R30" s="19">
        <f t="shared" si="36"/>
        <v>0</v>
      </c>
      <c r="S30" s="19">
        <f t="shared" si="37"/>
        <v>8985742</v>
      </c>
      <c r="T30" s="19">
        <f t="shared" si="38"/>
        <v>8985742</v>
      </c>
      <c r="U30" s="19">
        <f t="shared" si="39"/>
        <v>8985742</v>
      </c>
      <c r="V30" s="20">
        <f>T30-U30</f>
        <v>0</v>
      </c>
      <c r="W30" s="17">
        <f t="shared" si="18"/>
        <v>0</v>
      </c>
      <c r="X30" s="17"/>
    </row>
    <row r="31" spans="2:24" ht="12" customHeight="1" outlineLevel="1">
      <c r="B31" s="13" t="s">
        <v>41</v>
      </c>
      <c r="C31" s="18">
        <f t="shared" si="21"/>
        <v>0</v>
      </c>
      <c r="D31" s="18">
        <f t="shared" si="22"/>
        <v>0</v>
      </c>
      <c r="E31" s="18">
        <f t="shared" si="23"/>
        <v>0</v>
      </c>
      <c r="F31" s="18">
        <f t="shared" si="24"/>
        <v>0</v>
      </c>
      <c r="G31" s="18">
        <f t="shared" si="25"/>
        <v>0</v>
      </c>
      <c r="H31" s="18">
        <f t="shared" si="26"/>
        <v>0</v>
      </c>
      <c r="I31" s="18">
        <f t="shared" si="27"/>
        <v>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0</v>
      </c>
      <c r="N31" s="18">
        <f t="shared" si="32"/>
        <v>59627</v>
      </c>
      <c r="O31" s="18">
        <f t="shared" si="33"/>
        <v>0</v>
      </c>
      <c r="P31" s="18">
        <f t="shared" si="34"/>
        <v>0</v>
      </c>
      <c r="Q31" s="19">
        <f t="shared" si="35"/>
        <v>0</v>
      </c>
      <c r="R31" s="19">
        <f t="shared" si="36"/>
        <v>0</v>
      </c>
      <c r="S31" s="19">
        <f t="shared" si="37"/>
        <v>0</v>
      </c>
      <c r="T31" s="19">
        <f t="shared" si="38"/>
        <v>59627</v>
      </c>
      <c r="U31" s="19">
        <f t="shared" si="39"/>
        <v>39827</v>
      </c>
      <c r="V31" s="20">
        <f>T31-U31</f>
        <v>19800</v>
      </c>
      <c r="W31" s="17">
        <f t="shared" si="18"/>
        <v>0.497150174504733</v>
      </c>
      <c r="X31" s="17"/>
    </row>
    <row r="32" spans="2:24" ht="12" customHeight="1" outlineLevel="1">
      <c r="B32" s="13" t="s">
        <v>42</v>
      </c>
      <c r="C32" s="18">
        <f t="shared" si="21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157820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8">
        <f t="shared" si="33"/>
        <v>0</v>
      </c>
      <c r="P32" s="18">
        <f t="shared" si="34"/>
        <v>0</v>
      </c>
      <c r="Q32" s="19">
        <f t="shared" si="35"/>
        <v>0</v>
      </c>
      <c r="R32" s="19">
        <f t="shared" si="36"/>
        <v>0</v>
      </c>
      <c r="S32" s="19">
        <f t="shared" si="37"/>
        <v>0</v>
      </c>
      <c r="T32" s="19">
        <f>SUM(C32:S32)</f>
        <v>157820</v>
      </c>
      <c r="U32" s="19">
        <f t="shared" si="39"/>
        <v>157820</v>
      </c>
      <c r="V32" s="20">
        <f>T32-U32</f>
        <v>0</v>
      </c>
      <c r="W32" s="17">
        <f t="shared" si="18"/>
        <v>0</v>
      </c>
      <c r="X32" s="17"/>
    </row>
    <row r="33" spans="2:24" ht="12" customHeight="1" outlineLevel="1">
      <c r="B33" s="13" t="s">
        <v>43</v>
      </c>
      <c r="C33" s="18">
        <f t="shared" si="21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6594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12030780</v>
      </c>
      <c r="O33" s="18">
        <f t="shared" si="33"/>
        <v>85390</v>
      </c>
      <c r="P33" s="18">
        <f t="shared" si="34"/>
        <v>145000</v>
      </c>
      <c r="Q33" s="19">
        <f t="shared" si="35"/>
        <v>0</v>
      </c>
      <c r="R33" s="19">
        <f t="shared" si="36"/>
        <v>0</v>
      </c>
      <c r="S33" s="19">
        <f t="shared" si="37"/>
        <v>0</v>
      </c>
      <c r="T33" s="19">
        <f>_xlfn.IFERROR(VLOOKUP($B33,$B$83:$T$138,19,FALSE),0)</f>
        <v>12267764</v>
      </c>
      <c r="U33" s="19">
        <f t="shared" si="39"/>
        <v>12170374</v>
      </c>
      <c r="V33" s="20">
        <f>T33-U33</f>
        <v>97390</v>
      </c>
      <c r="W33" s="17">
        <f t="shared" si="18"/>
        <v>0.008002219159411206</v>
      </c>
      <c r="X33" s="17"/>
    </row>
    <row r="34" spans="2:24" s="26" customFormat="1" ht="12" customHeight="1" outlineLevel="1">
      <c r="B34" s="22" t="s">
        <v>44</v>
      </c>
      <c r="C34" s="23">
        <f>SUM(C25:C33)</f>
        <v>1023</v>
      </c>
      <c r="D34" s="23">
        <f aca="true" t="shared" si="40" ref="D34:R34">SUM(D25:D33)</f>
        <v>273641</v>
      </c>
      <c r="E34" s="23">
        <f t="shared" si="40"/>
        <v>0</v>
      </c>
      <c r="F34" s="23">
        <f t="shared" si="40"/>
        <v>1693572</v>
      </c>
      <c r="G34" s="23">
        <f t="shared" si="40"/>
        <v>0</v>
      </c>
      <c r="H34" s="23">
        <f t="shared" si="40"/>
        <v>326965</v>
      </c>
      <c r="I34" s="23">
        <f t="shared" si="40"/>
        <v>403792</v>
      </c>
      <c r="J34" s="23">
        <f t="shared" si="40"/>
        <v>2086669</v>
      </c>
      <c r="K34" s="23">
        <f t="shared" si="40"/>
        <v>2030</v>
      </c>
      <c r="L34" s="23">
        <f t="shared" si="40"/>
        <v>1807752</v>
      </c>
      <c r="M34" s="23">
        <f t="shared" si="40"/>
        <v>0</v>
      </c>
      <c r="N34" s="23">
        <f t="shared" si="40"/>
        <v>21765745</v>
      </c>
      <c r="O34" s="23">
        <f t="shared" si="40"/>
        <v>85390</v>
      </c>
      <c r="P34" s="23">
        <f t="shared" si="40"/>
        <v>445000</v>
      </c>
      <c r="Q34" s="23">
        <f t="shared" si="40"/>
        <v>0</v>
      </c>
      <c r="R34" s="23">
        <f t="shared" si="40"/>
        <v>33080</v>
      </c>
      <c r="S34" s="23">
        <f>SUM(S25:S33)</f>
        <v>9068594</v>
      </c>
      <c r="T34" s="23">
        <f>SUM(T25:T33)</f>
        <v>37993253</v>
      </c>
      <c r="U34" s="23">
        <f>SUM(U25:U33)</f>
        <v>39228040</v>
      </c>
      <c r="V34" s="27">
        <f>SUM(V25:V33)</f>
        <v>-1234787</v>
      </c>
      <c r="W34" s="24">
        <f t="shared" si="18"/>
        <v>-0.03147715256739822</v>
      </c>
      <c r="X34" s="24"/>
    </row>
    <row r="35" spans="2:24" ht="12" customHeight="1" outlineLevel="1">
      <c r="B35" s="28" t="s">
        <v>45</v>
      </c>
      <c r="C35" s="18">
        <f aca="true" t="shared" si="41" ref="C35:C46">_xlfn.IFERROR(VLOOKUP($B35,$B$83:$F$138,2,FALSE),0)</f>
        <v>0</v>
      </c>
      <c r="D35" s="18">
        <f aca="true" t="shared" si="42" ref="D35:D46">_xlfn.IFERROR(VLOOKUP(B35,$B$83:$D$138,3,FALSE),0)</f>
        <v>0</v>
      </c>
      <c r="E35" s="18">
        <f aca="true" t="shared" si="43" ref="E35:E46">_xlfn.IFERROR(VLOOKUP($B35,$B$83:$E$138,4,FALSE),0)</f>
        <v>0</v>
      </c>
      <c r="F35" s="18">
        <f aca="true" t="shared" si="44" ref="F35:F46">_xlfn.IFERROR(VLOOKUP($B35,$B$83:$F$138,5,FALSE),0)</f>
        <v>0</v>
      </c>
      <c r="G35" s="18">
        <f aca="true" t="shared" si="45" ref="G35:G46">_xlfn.IFERROR(VLOOKUP($B35,$B$83:$G$138,6,FALSE),0)</f>
        <v>0</v>
      </c>
      <c r="H35" s="18">
        <f aca="true" t="shared" si="46" ref="H35:H46">_xlfn.IFERROR(VLOOKUP($B35,$B$83:$H$138,7,FALSE),0)</f>
        <v>0</v>
      </c>
      <c r="I35" s="18">
        <f aca="true" t="shared" si="47" ref="I35:I46">_xlfn.IFERROR(VLOOKUP($B35,$B$83:$I$138,8,FALSE),0)</f>
        <v>0</v>
      </c>
      <c r="J35" s="18">
        <f aca="true" t="shared" si="48" ref="J35:J46">_xlfn.IFERROR(VLOOKUP($B35,$B$83:$J$138,9,FALSE),0)</f>
        <v>0</v>
      </c>
      <c r="K35" s="18">
        <f aca="true" t="shared" si="49" ref="K35:K46">_xlfn.IFERROR(VLOOKUP($B35,$B$83:$K$138,10,FALSE),0)</f>
        <v>0</v>
      </c>
      <c r="L35" s="18">
        <f aca="true" t="shared" si="50" ref="L35:L46">_xlfn.IFERROR(VLOOKUP($B35,$B$83:$L$138,11,FALSE),0)</f>
        <v>0</v>
      </c>
      <c r="M35" s="18">
        <f aca="true" t="shared" si="51" ref="M35:M46">_xlfn.IFERROR(VLOOKUP($B35,$B$83:$M$138,12,FALSE),0)</f>
        <v>0</v>
      </c>
      <c r="N35" s="18">
        <f>(_xlfn.IFERROR(VLOOKUP($B35,$B$83:$N$138,13,FALSE),0))</f>
        <v>0</v>
      </c>
      <c r="O35" s="18">
        <f aca="true" t="shared" si="52" ref="O35:O46">_xlfn.IFERROR(VLOOKUP($B35,$B$83:$P$138,14,FALSE),0)</f>
        <v>8015547</v>
      </c>
      <c r="P35" s="18">
        <f aca="true" t="shared" si="53" ref="P35:P46">_xlfn.IFERROR(VLOOKUP($B35,$B$83:$P$138,15,FALSE),0)</f>
        <v>13688299</v>
      </c>
      <c r="Q35" s="19">
        <f aca="true" t="shared" si="54" ref="Q35:Q46">_xlfn.IFERROR(VLOOKUP($B35,$B$83:$R$138,16,FALSE),0)</f>
        <v>0</v>
      </c>
      <c r="R35" s="19">
        <f aca="true" t="shared" si="55" ref="R35:R46">_xlfn.IFERROR(VLOOKUP($B35,$B$83:$R$138,17,FALSE),0)</f>
        <v>0</v>
      </c>
      <c r="S35" s="19">
        <f aca="true" t="shared" si="56" ref="S35:S46">_xlfn.IFERROR(VLOOKUP($B35,$B$83:$T$138,18,FALSE),0)</f>
        <v>55136</v>
      </c>
      <c r="T35" s="19">
        <f aca="true" t="shared" si="57" ref="T35:T46">_xlfn.IFERROR(VLOOKUP($B35,$B$83:$T$138,19,FALSE),0)</f>
        <v>21758982</v>
      </c>
      <c r="U35" s="19">
        <f aca="true" t="shared" si="58" ref="U35:U46">_xlfn.IFERROR(VLOOKUP($B35,$B$83:$V$138,20,FALSE),0)</f>
        <v>20430896</v>
      </c>
      <c r="V35" s="20">
        <f aca="true" t="shared" si="59" ref="V35:V46">T35-U35</f>
        <v>1328086</v>
      </c>
      <c r="W35" s="17">
        <f t="shared" si="18"/>
        <v>0.06500380600048083</v>
      </c>
      <c r="X35" s="17"/>
    </row>
    <row r="36" spans="2:24" ht="12" customHeight="1" outlineLevel="1">
      <c r="B36" s="13" t="s">
        <v>46</v>
      </c>
      <c r="C36" s="18">
        <f t="shared" si="41"/>
        <v>0</v>
      </c>
      <c r="D36" s="18">
        <f t="shared" si="42"/>
        <v>0</v>
      </c>
      <c r="E36" s="18">
        <f t="shared" si="43"/>
        <v>0</v>
      </c>
      <c r="F36" s="18">
        <f t="shared" si="44"/>
        <v>0</v>
      </c>
      <c r="G36" s="18">
        <f t="shared" si="45"/>
        <v>0</v>
      </c>
      <c r="H36" s="18">
        <f t="shared" si="46"/>
        <v>0</v>
      </c>
      <c r="I36" s="18">
        <f t="shared" si="47"/>
        <v>0</v>
      </c>
      <c r="J36" s="18">
        <f t="shared" si="48"/>
        <v>0</v>
      </c>
      <c r="K36" s="18">
        <f t="shared" si="49"/>
        <v>0</v>
      </c>
      <c r="L36" s="18">
        <f t="shared" si="50"/>
        <v>0</v>
      </c>
      <c r="M36" s="18">
        <f t="shared" si="51"/>
        <v>0</v>
      </c>
      <c r="N36" s="18">
        <f>(_xlfn.IFERROR(VLOOKUP($B36,$B$83:$N$138,13,FALSE),0))</f>
        <v>0</v>
      </c>
      <c r="O36" s="18">
        <f t="shared" si="52"/>
        <v>0</v>
      </c>
      <c r="P36" s="18">
        <f t="shared" si="53"/>
        <v>61500</v>
      </c>
      <c r="Q36" s="19">
        <f t="shared" si="54"/>
        <v>0</v>
      </c>
      <c r="R36" s="19">
        <f t="shared" si="55"/>
        <v>0</v>
      </c>
      <c r="S36" s="19">
        <f t="shared" si="56"/>
        <v>0</v>
      </c>
      <c r="T36" s="19">
        <f t="shared" si="57"/>
        <v>61500</v>
      </c>
      <c r="U36" s="19">
        <f t="shared" si="58"/>
        <v>127820</v>
      </c>
      <c r="V36" s="20">
        <f t="shared" si="59"/>
        <v>-66320</v>
      </c>
      <c r="W36" s="17">
        <f t="shared" si="18"/>
        <v>-0.5188546393365671</v>
      </c>
      <c r="X36" s="17"/>
    </row>
    <row r="37" spans="2:24" ht="12" customHeight="1" outlineLevel="1">
      <c r="B37" s="28" t="s">
        <v>47</v>
      </c>
      <c r="C37" s="18">
        <f t="shared" si="41"/>
        <v>0</v>
      </c>
      <c r="D37" s="18">
        <f t="shared" si="42"/>
        <v>0</v>
      </c>
      <c r="E37" s="18">
        <f t="shared" si="43"/>
        <v>0</v>
      </c>
      <c r="F37" s="18">
        <f t="shared" si="44"/>
        <v>0</v>
      </c>
      <c r="G37" s="18">
        <f t="shared" si="45"/>
        <v>0</v>
      </c>
      <c r="H37" s="18">
        <f t="shared" si="46"/>
        <v>0</v>
      </c>
      <c r="I37" s="18">
        <f t="shared" si="47"/>
        <v>0</v>
      </c>
      <c r="J37" s="18">
        <f t="shared" si="48"/>
        <v>0</v>
      </c>
      <c r="K37" s="18">
        <f t="shared" si="49"/>
        <v>0</v>
      </c>
      <c r="L37" s="18">
        <f t="shared" si="50"/>
        <v>0</v>
      </c>
      <c r="M37" s="18">
        <f t="shared" si="51"/>
        <v>0</v>
      </c>
      <c r="N37" s="18">
        <f>(_xlfn.IFERROR(VLOOKUP($B37,$B$83:$N$138,13,FALSE),0))</f>
        <v>163595</v>
      </c>
      <c r="O37" s="18">
        <f t="shared" si="52"/>
        <v>0</v>
      </c>
      <c r="P37" s="18">
        <f t="shared" si="53"/>
        <v>259556</v>
      </c>
      <c r="Q37" s="19">
        <f t="shared" si="54"/>
        <v>0</v>
      </c>
      <c r="R37" s="19">
        <f t="shared" si="55"/>
        <v>0</v>
      </c>
      <c r="S37" s="19">
        <f t="shared" si="56"/>
        <v>0</v>
      </c>
      <c r="T37" s="19">
        <f t="shared" si="57"/>
        <v>423151</v>
      </c>
      <c r="U37" s="19">
        <f t="shared" si="58"/>
        <v>509151</v>
      </c>
      <c r="V37" s="20">
        <f t="shared" si="59"/>
        <v>-86000</v>
      </c>
      <c r="W37" s="17">
        <f t="shared" si="18"/>
        <v>-0.1689086341772873</v>
      </c>
      <c r="X37" s="17"/>
    </row>
    <row r="38" spans="2:24" ht="12" customHeight="1" outlineLevel="1">
      <c r="B38" s="13" t="s">
        <v>48</v>
      </c>
      <c r="C38" s="18">
        <f t="shared" si="41"/>
        <v>0</v>
      </c>
      <c r="D38" s="18">
        <f t="shared" si="42"/>
        <v>0</v>
      </c>
      <c r="E38" s="18">
        <f t="shared" si="43"/>
        <v>0</v>
      </c>
      <c r="F38" s="18">
        <f t="shared" si="44"/>
        <v>0</v>
      </c>
      <c r="G38" s="18">
        <f t="shared" si="45"/>
        <v>0</v>
      </c>
      <c r="H38" s="18">
        <f t="shared" si="46"/>
        <v>0</v>
      </c>
      <c r="I38" s="18">
        <f t="shared" si="47"/>
        <v>0</v>
      </c>
      <c r="J38" s="18">
        <f t="shared" si="48"/>
        <v>0</v>
      </c>
      <c r="K38" s="18">
        <f t="shared" si="49"/>
        <v>0</v>
      </c>
      <c r="L38" s="18">
        <f t="shared" si="50"/>
        <v>0</v>
      </c>
      <c r="M38" s="18">
        <f t="shared" si="51"/>
        <v>0</v>
      </c>
      <c r="N38" s="18">
        <f>_xlfn.IFERROR(VLOOKUP($B38,$B$83:$N$138,13,FALSE),0)</f>
        <v>55822</v>
      </c>
      <c r="O38" s="18">
        <f t="shared" si="52"/>
        <v>0</v>
      </c>
      <c r="P38" s="18">
        <f t="shared" si="53"/>
        <v>90350</v>
      </c>
      <c r="Q38" s="19">
        <f t="shared" si="54"/>
        <v>0</v>
      </c>
      <c r="R38" s="19">
        <f t="shared" si="55"/>
        <v>0</v>
      </c>
      <c r="S38" s="19">
        <f t="shared" si="56"/>
        <v>0</v>
      </c>
      <c r="T38" s="19">
        <f t="shared" si="57"/>
        <v>146172</v>
      </c>
      <c r="U38" s="19">
        <f t="shared" si="58"/>
        <v>280650</v>
      </c>
      <c r="V38" s="20">
        <f t="shared" si="59"/>
        <v>-134478</v>
      </c>
      <c r="W38" s="17">
        <f t="shared" si="18"/>
        <v>-0.47916622127204705</v>
      </c>
      <c r="X38" s="17"/>
    </row>
    <row r="39" spans="2:24" ht="12" customHeight="1" outlineLevel="1">
      <c r="B39" s="13" t="s">
        <v>49</v>
      </c>
      <c r="C39" s="18">
        <f t="shared" si="41"/>
        <v>644</v>
      </c>
      <c r="D39" s="18">
        <f t="shared" si="42"/>
        <v>0</v>
      </c>
      <c r="E39" s="18">
        <f t="shared" si="43"/>
        <v>0</v>
      </c>
      <c r="F39" s="18">
        <f t="shared" si="44"/>
        <v>0</v>
      </c>
      <c r="G39" s="18">
        <f t="shared" si="45"/>
        <v>0</v>
      </c>
      <c r="H39" s="18">
        <f t="shared" si="46"/>
        <v>0</v>
      </c>
      <c r="I39" s="18">
        <f t="shared" si="47"/>
        <v>801</v>
      </c>
      <c r="J39" s="18">
        <f t="shared" si="48"/>
        <v>0</v>
      </c>
      <c r="K39" s="18">
        <f t="shared" si="49"/>
        <v>3892</v>
      </c>
      <c r="L39" s="18">
        <f t="shared" si="50"/>
        <v>0</v>
      </c>
      <c r="M39" s="18">
        <f t="shared" si="51"/>
        <v>0</v>
      </c>
      <c r="N39" s="18">
        <f>(_xlfn.IFERROR(VLOOKUP($B39,$B$83:$N$138,13,FALSE),0))</f>
        <v>0</v>
      </c>
      <c r="O39" s="18">
        <f t="shared" si="52"/>
        <v>0</v>
      </c>
      <c r="P39" s="18">
        <f t="shared" si="53"/>
        <v>23565</v>
      </c>
      <c r="Q39" s="19">
        <f t="shared" si="54"/>
        <v>0</v>
      </c>
      <c r="R39" s="19">
        <f t="shared" si="55"/>
        <v>600</v>
      </c>
      <c r="S39" s="19">
        <f t="shared" si="56"/>
        <v>0</v>
      </c>
      <c r="T39" s="19">
        <f t="shared" si="57"/>
        <v>29502</v>
      </c>
      <c r="U39" s="19">
        <f t="shared" si="58"/>
        <v>26427</v>
      </c>
      <c r="V39" s="20">
        <f t="shared" si="59"/>
        <v>3075</v>
      </c>
      <c r="W39" s="17">
        <f t="shared" si="18"/>
        <v>0.11635826995118628</v>
      </c>
      <c r="X39" s="17"/>
    </row>
    <row r="40" spans="2:24" ht="12" customHeight="1" outlineLevel="1">
      <c r="B40" s="13" t="s">
        <v>50</v>
      </c>
      <c r="C40" s="18">
        <f t="shared" si="41"/>
        <v>0</v>
      </c>
      <c r="D40" s="18">
        <f t="shared" si="42"/>
        <v>0</v>
      </c>
      <c r="E40" s="18">
        <f t="shared" si="43"/>
        <v>0</v>
      </c>
      <c r="F40" s="18">
        <f t="shared" si="44"/>
        <v>0</v>
      </c>
      <c r="G40" s="18">
        <f t="shared" si="45"/>
        <v>0</v>
      </c>
      <c r="H40" s="18">
        <f t="shared" si="46"/>
        <v>0</v>
      </c>
      <c r="I40" s="18">
        <f t="shared" si="47"/>
        <v>0</v>
      </c>
      <c r="J40" s="18">
        <f t="shared" si="48"/>
        <v>0</v>
      </c>
      <c r="K40" s="18">
        <f t="shared" si="49"/>
        <v>0</v>
      </c>
      <c r="L40" s="18">
        <f t="shared" si="50"/>
        <v>2798</v>
      </c>
      <c r="M40" s="18">
        <f t="shared" si="51"/>
        <v>0</v>
      </c>
      <c r="N40" s="18">
        <f>(_xlfn.IFERROR(VLOOKUP($B40,$B$83:$N$138,13,FALSE),0))</f>
        <v>0</v>
      </c>
      <c r="O40" s="18">
        <f t="shared" si="52"/>
        <v>81500</v>
      </c>
      <c r="P40" s="18">
        <f t="shared" si="53"/>
        <v>2960062</v>
      </c>
      <c r="Q40" s="19">
        <f t="shared" si="54"/>
        <v>0</v>
      </c>
      <c r="R40" s="19">
        <f t="shared" si="55"/>
        <v>0</v>
      </c>
      <c r="S40" s="19">
        <f t="shared" si="56"/>
        <v>129417</v>
      </c>
      <c r="T40" s="19">
        <f t="shared" si="57"/>
        <v>3173777</v>
      </c>
      <c r="U40" s="19">
        <f t="shared" si="58"/>
        <v>4118997</v>
      </c>
      <c r="V40" s="20">
        <f t="shared" si="59"/>
        <v>-945220</v>
      </c>
      <c r="W40" s="17">
        <f t="shared" si="18"/>
        <v>-0.22947819578407072</v>
      </c>
      <c r="X40" s="17"/>
    </row>
    <row r="41" spans="2:24" ht="12" customHeight="1" outlineLevel="1">
      <c r="B41" s="13" t="s">
        <v>51</v>
      </c>
      <c r="C41" s="18">
        <f t="shared" si="41"/>
        <v>0</v>
      </c>
      <c r="D41" s="18">
        <f t="shared" si="42"/>
        <v>0</v>
      </c>
      <c r="E41" s="18">
        <f t="shared" si="43"/>
        <v>0</v>
      </c>
      <c r="F41" s="18">
        <f t="shared" si="44"/>
        <v>0</v>
      </c>
      <c r="G41" s="18">
        <f t="shared" si="45"/>
        <v>0</v>
      </c>
      <c r="H41" s="18">
        <f t="shared" si="46"/>
        <v>0</v>
      </c>
      <c r="I41" s="18">
        <f t="shared" si="47"/>
        <v>0</v>
      </c>
      <c r="J41" s="18">
        <f t="shared" si="48"/>
        <v>0</v>
      </c>
      <c r="K41" s="18">
        <f t="shared" si="49"/>
        <v>0</v>
      </c>
      <c r="L41" s="18">
        <f t="shared" si="50"/>
        <v>0</v>
      </c>
      <c r="M41" s="18">
        <f t="shared" si="51"/>
        <v>0</v>
      </c>
      <c r="N41" s="18">
        <f>_xlfn.IFERROR(VLOOKUP($B41,$B$83:$N$138,13,FALSE),0)</f>
        <v>0</v>
      </c>
      <c r="O41" s="18">
        <f t="shared" si="52"/>
        <v>0</v>
      </c>
      <c r="P41" s="18">
        <f t="shared" si="53"/>
        <v>1023309</v>
      </c>
      <c r="Q41" s="19">
        <f t="shared" si="54"/>
        <v>0</v>
      </c>
      <c r="R41" s="19">
        <f t="shared" si="55"/>
        <v>0</v>
      </c>
      <c r="S41" s="19">
        <f t="shared" si="56"/>
        <v>0</v>
      </c>
      <c r="T41" s="19">
        <f t="shared" si="57"/>
        <v>1023309</v>
      </c>
      <c r="U41" s="19">
        <f t="shared" si="58"/>
        <v>992000</v>
      </c>
      <c r="V41" s="20">
        <f t="shared" si="59"/>
        <v>31309</v>
      </c>
      <c r="W41" s="17">
        <f t="shared" si="18"/>
        <v>0.03156149193548387</v>
      </c>
      <c r="X41" s="17"/>
    </row>
    <row r="42" spans="2:24" ht="12" customHeight="1" outlineLevel="1">
      <c r="B42" s="28" t="s">
        <v>52</v>
      </c>
      <c r="C42" s="18">
        <f t="shared" si="41"/>
        <v>0</v>
      </c>
      <c r="D42" s="18">
        <f t="shared" si="42"/>
        <v>0</v>
      </c>
      <c r="E42" s="18">
        <f t="shared" si="43"/>
        <v>0</v>
      </c>
      <c r="F42" s="18">
        <f t="shared" si="44"/>
        <v>0</v>
      </c>
      <c r="G42" s="18">
        <f t="shared" si="45"/>
        <v>0</v>
      </c>
      <c r="H42" s="18">
        <f t="shared" si="46"/>
        <v>0</v>
      </c>
      <c r="I42" s="18">
        <f t="shared" si="47"/>
        <v>0</v>
      </c>
      <c r="J42" s="18">
        <f t="shared" si="48"/>
        <v>0</v>
      </c>
      <c r="K42" s="18">
        <f t="shared" si="49"/>
        <v>0</v>
      </c>
      <c r="L42" s="18">
        <f t="shared" si="50"/>
        <v>0</v>
      </c>
      <c r="M42" s="18">
        <f t="shared" si="51"/>
        <v>0</v>
      </c>
      <c r="N42" s="18">
        <f>(_xlfn.IFERROR(VLOOKUP($B42,$B$83:$N$138,13,FALSE),0))</f>
        <v>0</v>
      </c>
      <c r="O42" s="18">
        <f t="shared" si="52"/>
        <v>0</v>
      </c>
      <c r="P42" s="18">
        <f t="shared" si="53"/>
        <v>722590</v>
      </c>
      <c r="Q42" s="19">
        <f t="shared" si="54"/>
        <v>0</v>
      </c>
      <c r="R42" s="19">
        <f t="shared" si="55"/>
        <v>0</v>
      </c>
      <c r="S42" s="19">
        <f t="shared" si="56"/>
        <v>0</v>
      </c>
      <c r="T42" s="19">
        <f t="shared" si="57"/>
        <v>722590</v>
      </c>
      <c r="U42" s="19">
        <f t="shared" si="58"/>
        <v>722590</v>
      </c>
      <c r="V42" s="20">
        <f t="shared" si="59"/>
        <v>0</v>
      </c>
      <c r="W42" s="17">
        <f t="shared" si="18"/>
        <v>0</v>
      </c>
      <c r="X42" s="17"/>
    </row>
    <row r="43" spans="2:24" ht="12" customHeight="1" outlineLevel="1">
      <c r="B43" s="28" t="s">
        <v>53</v>
      </c>
      <c r="C43" s="18">
        <f t="shared" si="41"/>
        <v>0</v>
      </c>
      <c r="D43" s="18">
        <f t="shared" si="42"/>
        <v>0</v>
      </c>
      <c r="E43" s="18">
        <f t="shared" si="43"/>
        <v>0</v>
      </c>
      <c r="F43" s="18">
        <f t="shared" si="44"/>
        <v>0</v>
      </c>
      <c r="G43" s="18">
        <f t="shared" si="45"/>
        <v>0</v>
      </c>
      <c r="H43" s="18">
        <f t="shared" si="46"/>
        <v>0</v>
      </c>
      <c r="I43" s="18">
        <f t="shared" si="47"/>
        <v>0</v>
      </c>
      <c r="J43" s="18">
        <f t="shared" si="48"/>
        <v>0</v>
      </c>
      <c r="K43" s="18">
        <f t="shared" si="49"/>
        <v>0</v>
      </c>
      <c r="L43" s="18">
        <f t="shared" si="50"/>
        <v>0</v>
      </c>
      <c r="M43" s="18">
        <f t="shared" si="51"/>
        <v>0</v>
      </c>
      <c r="N43" s="18">
        <f>(_xlfn.IFERROR(VLOOKUP($B43,$B$83:$N$138,13,FALSE),0))</f>
        <v>0</v>
      </c>
      <c r="O43" s="18">
        <f t="shared" si="52"/>
        <v>0</v>
      </c>
      <c r="P43" s="18">
        <f t="shared" si="53"/>
        <v>70600</v>
      </c>
      <c r="Q43" s="19">
        <f t="shared" si="54"/>
        <v>0</v>
      </c>
      <c r="R43" s="19">
        <f t="shared" si="55"/>
        <v>0</v>
      </c>
      <c r="S43" s="19">
        <f t="shared" si="56"/>
        <v>0</v>
      </c>
      <c r="T43" s="19">
        <f t="shared" si="57"/>
        <v>70600</v>
      </c>
      <c r="U43" s="19">
        <f t="shared" si="58"/>
        <v>70600</v>
      </c>
      <c r="V43" s="20">
        <f t="shared" si="59"/>
        <v>0</v>
      </c>
      <c r="W43" s="17">
        <f t="shared" si="18"/>
        <v>0</v>
      </c>
      <c r="X43" s="17"/>
    </row>
    <row r="44" spans="2:24" ht="12" customHeight="1" outlineLevel="1">
      <c r="B44" s="28" t="s">
        <v>54</v>
      </c>
      <c r="C44" s="18">
        <f t="shared" si="41"/>
        <v>0</v>
      </c>
      <c r="D44" s="18">
        <f t="shared" si="42"/>
        <v>0</v>
      </c>
      <c r="E44" s="18">
        <f t="shared" si="43"/>
        <v>0</v>
      </c>
      <c r="F44" s="18">
        <f t="shared" si="44"/>
        <v>0</v>
      </c>
      <c r="G44" s="18">
        <f t="shared" si="45"/>
        <v>0</v>
      </c>
      <c r="H44" s="18">
        <f t="shared" si="46"/>
        <v>0</v>
      </c>
      <c r="I44" s="18">
        <f t="shared" si="47"/>
        <v>0</v>
      </c>
      <c r="J44" s="18">
        <f t="shared" si="48"/>
        <v>0</v>
      </c>
      <c r="K44" s="18">
        <f t="shared" si="49"/>
        <v>0</v>
      </c>
      <c r="L44" s="18">
        <f t="shared" si="50"/>
        <v>0</v>
      </c>
      <c r="M44" s="18">
        <f t="shared" si="51"/>
        <v>0</v>
      </c>
      <c r="N44" s="18">
        <f>(_xlfn.IFERROR(VLOOKUP($B44,$B$83:$N$138,13,FALSE),0))</f>
        <v>0</v>
      </c>
      <c r="O44" s="18">
        <f t="shared" si="52"/>
        <v>0</v>
      </c>
      <c r="P44" s="18">
        <f t="shared" si="53"/>
        <v>2164256</v>
      </c>
      <c r="Q44" s="19">
        <f t="shared" si="54"/>
        <v>0</v>
      </c>
      <c r="R44" s="19">
        <f t="shared" si="55"/>
        <v>0</v>
      </c>
      <c r="S44" s="19">
        <f t="shared" si="56"/>
        <v>0</v>
      </c>
      <c r="T44" s="19">
        <f t="shared" si="57"/>
        <v>2164256</v>
      </c>
      <c r="U44" s="19">
        <f t="shared" si="58"/>
        <v>2464256</v>
      </c>
      <c r="V44" s="20">
        <f t="shared" si="59"/>
        <v>-300000</v>
      </c>
      <c r="W44" s="17">
        <f t="shared" si="18"/>
        <v>-0.12174059837938915</v>
      </c>
      <c r="X44" s="17"/>
    </row>
    <row r="45" spans="1:24" ht="12" customHeight="1">
      <c r="A45" s="2" t="s">
        <v>55</v>
      </c>
      <c r="B45" s="13" t="s">
        <v>56</v>
      </c>
      <c r="C45" s="18">
        <f t="shared" si="41"/>
        <v>0</v>
      </c>
      <c r="D45" s="18">
        <f t="shared" si="42"/>
        <v>0</v>
      </c>
      <c r="E45" s="18">
        <f t="shared" si="43"/>
        <v>0</v>
      </c>
      <c r="F45" s="18">
        <f t="shared" si="44"/>
        <v>0</v>
      </c>
      <c r="G45" s="18">
        <f t="shared" si="45"/>
        <v>0</v>
      </c>
      <c r="H45" s="18">
        <f t="shared" si="46"/>
        <v>0</v>
      </c>
      <c r="I45" s="18">
        <f t="shared" si="47"/>
        <v>0</v>
      </c>
      <c r="J45" s="18">
        <f t="shared" si="48"/>
        <v>0</v>
      </c>
      <c r="K45" s="18">
        <f t="shared" si="49"/>
        <v>0</v>
      </c>
      <c r="L45" s="18">
        <f t="shared" si="50"/>
        <v>0</v>
      </c>
      <c r="M45" s="18">
        <f t="shared" si="51"/>
        <v>0</v>
      </c>
      <c r="N45" s="18">
        <f>(_xlfn.IFERROR(VLOOKUP($B45,$B$83:$N$138,13,FALSE),0))</f>
        <v>0</v>
      </c>
      <c r="O45" s="18">
        <f t="shared" si="52"/>
        <v>0</v>
      </c>
      <c r="P45" s="18">
        <f t="shared" si="53"/>
        <v>290685</v>
      </c>
      <c r="Q45" s="19">
        <f t="shared" si="54"/>
        <v>0</v>
      </c>
      <c r="R45" s="19">
        <f t="shared" si="55"/>
        <v>0</v>
      </c>
      <c r="S45" s="19">
        <f t="shared" si="56"/>
        <v>0</v>
      </c>
      <c r="T45" s="19">
        <f t="shared" si="57"/>
        <v>290685</v>
      </c>
      <c r="U45" s="19">
        <f t="shared" si="58"/>
        <v>151525</v>
      </c>
      <c r="V45" s="20">
        <f t="shared" si="59"/>
        <v>139160</v>
      </c>
      <c r="W45" s="17">
        <f t="shared" si="18"/>
        <v>0.9183963042402243</v>
      </c>
      <c r="X45" s="17"/>
    </row>
    <row r="46" spans="2:24" ht="12" customHeight="1">
      <c r="B46" s="13" t="s">
        <v>57</v>
      </c>
      <c r="C46" s="18">
        <f t="shared" si="41"/>
        <v>0</v>
      </c>
      <c r="D46" s="18">
        <f t="shared" si="42"/>
        <v>0</v>
      </c>
      <c r="E46" s="18">
        <f t="shared" si="43"/>
        <v>0</v>
      </c>
      <c r="F46" s="18">
        <f t="shared" si="44"/>
        <v>0</v>
      </c>
      <c r="G46" s="18">
        <f t="shared" si="45"/>
        <v>0</v>
      </c>
      <c r="H46" s="18">
        <f t="shared" si="46"/>
        <v>0</v>
      </c>
      <c r="I46" s="18">
        <f t="shared" si="47"/>
        <v>0</v>
      </c>
      <c r="J46" s="18">
        <f t="shared" si="48"/>
        <v>0</v>
      </c>
      <c r="K46" s="18">
        <f t="shared" si="49"/>
        <v>0</v>
      </c>
      <c r="L46" s="18">
        <f t="shared" si="50"/>
        <v>1979</v>
      </c>
      <c r="M46" s="18">
        <f t="shared" si="51"/>
        <v>0</v>
      </c>
      <c r="N46" s="18">
        <f>(_xlfn.IFERROR(VLOOKUP($B46,$B$83:$N$138,13,FALSE),0))</f>
        <v>28257</v>
      </c>
      <c r="O46" s="18">
        <f t="shared" si="52"/>
        <v>0</v>
      </c>
      <c r="P46" s="18">
        <f t="shared" si="53"/>
        <v>189600</v>
      </c>
      <c r="Q46" s="19">
        <f t="shared" si="54"/>
        <v>0</v>
      </c>
      <c r="R46" s="19">
        <f t="shared" si="55"/>
        <v>0</v>
      </c>
      <c r="S46" s="19">
        <f t="shared" si="56"/>
        <v>96687</v>
      </c>
      <c r="T46" s="19">
        <f t="shared" si="57"/>
        <v>316523</v>
      </c>
      <c r="U46" s="19">
        <f t="shared" si="58"/>
        <v>306890</v>
      </c>
      <c r="V46" s="20">
        <f t="shared" si="59"/>
        <v>9633</v>
      </c>
      <c r="W46" s="17">
        <f t="shared" si="18"/>
        <v>0.03138909707061162</v>
      </c>
      <c r="X46" s="17"/>
    </row>
    <row r="47" spans="2:24" s="26" customFormat="1" ht="12" customHeight="1">
      <c r="B47" s="22" t="s">
        <v>14</v>
      </c>
      <c r="C47" s="23">
        <f>SUM(C35:C46)</f>
        <v>644</v>
      </c>
      <c r="D47" s="23">
        <f aca="true" t="shared" si="60" ref="D47:V47">SUM(D35:D46)</f>
        <v>0</v>
      </c>
      <c r="E47" s="23">
        <f t="shared" si="60"/>
        <v>0</v>
      </c>
      <c r="F47" s="23">
        <f t="shared" si="60"/>
        <v>0</v>
      </c>
      <c r="G47" s="23">
        <f t="shared" si="60"/>
        <v>0</v>
      </c>
      <c r="H47" s="23">
        <f t="shared" si="60"/>
        <v>0</v>
      </c>
      <c r="I47" s="23">
        <f t="shared" si="60"/>
        <v>801</v>
      </c>
      <c r="J47" s="23">
        <f t="shared" si="60"/>
        <v>0</v>
      </c>
      <c r="K47" s="23">
        <f t="shared" si="60"/>
        <v>3892</v>
      </c>
      <c r="L47" s="23">
        <f t="shared" si="60"/>
        <v>4777</v>
      </c>
      <c r="M47" s="23">
        <f t="shared" si="60"/>
        <v>0</v>
      </c>
      <c r="N47" s="23">
        <f t="shared" si="60"/>
        <v>247674</v>
      </c>
      <c r="O47" s="23">
        <f t="shared" si="60"/>
        <v>8097047</v>
      </c>
      <c r="P47" s="23">
        <f t="shared" si="60"/>
        <v>21544372</v>
      </c>
      <c r="Q47" s="23">
        <f t="shared" si="60"/>
        <v>0</v>
      </c>
      <c r="R47" s="23">
        <f t="shared" si="60"/>
        <v>600</v>
      </c>
      <c r="S47" s="23">
        <f t="shared" si="60"/>
        <v>281240</v>
      </c>
      <c r="T47" s="23">
        <f t="shared" si="60"/>
        <v>30181047</v>
      </c>
      <c r="U47" s="23">
        <f>SUM(U35:U46)</f>
        <v>30201802</v>
      </c>
      <c r="V47" s="27">
        <f t="shared" si="60"/>
        <v>-20755</v>
      </c>
      <c r="W47" s="24">
        <f t="shared" si="18"/>
        <v>-0.000687210650543302</v>
      </c>
      <c r="X47" s="24"/>
    </row>
    <row r="48" spans="2:24" ht="12" customHeight="1">
      <c r="B48" s="13" t="s">
        <v>58</v>
      </c>
      <c r="C48" s="18">
        <f aca="true" t="shared" si="61" ref="C48:C54">_xlfn.IFERROR(VLOOKUP($B48,$B$83:$F$138,2,FALSE),0)</f>
        <v>0</v>
      </c>
      <c r="D48" s="18">
        <f aca="true" t="shared" si="62" ref="D48:D54">_xlfn.IFERROR(VLOOKUP(B48,$B$83:$D$138,3,FALSE),0)</f>
        <v>0</v>
      </c>
      <c r="E48" s="18">
        <f aca="true" t="shared" si="63" ref="E48:E54">_xlfn.IFERROR(VLOOKUP($B48,$B$83:$E$138,4,FALSE),0)</f>
        <v>0</v>
      </c>
      <c r="F48" s="18">
        <f aca="true" t="shared" si="64" ref="F48:F54">_xlfn.IFERROR(VLOOKUP($B48,$B$83:$F$138,5,FALSE),0)</f>
        <v>0</v>
      </c>
      <c r="G48" s="18">
        <f aca="true" t="shared" si="65" ref="G48:G54">_xlfn.IFERROR(VLOOKUP($B48,$B$83:$G$138,6,FALSE),0)</f>
        <v>0</v>
      </c>
      <c r="H48" s="18">
        <f aca="true" t="shared" si="66" ref="H48:H54">_xlfn.IFERROR(VLOOKUP($B48,$B$83:$H$138,7,FALSE),0)</f>
        <v>0</v>
      </c>
      <c r="I48" s="18">
        <f aca="true" t="shared" si="67" ref="I48:I54">_xlfn.IFERROR(VLOOKUP($B48,$B$83:$I$138,8,FALSE),0)</f>
        <v>100</v>
      </c>
      <c r="J48" s="18">
        <f aca="true" t="shared" si="68" ref="J48:J54">_xlfn.IFERROR(VLOOKUP($B48,$B$83:$J$138,9,FALSE),0)</f>
        <v>0</v>
      </c>
      <c r="K48" s="18">
        <f aca="true" t="shared" si="69" ref="K48:K54">_xlfn.IFERROR(VLOOKUP($B48,$B$83:$K$138,10,FALSE),0)</f>
        <v>0</v>
      </c>
      <c r="L48" s="18">
        <f aca="true" t="shared" si="70" ref="L48:L54">_xlfn.IFERROR(VLOOKUP($B48,$B$83:$L$138,11,FALSE),0)</f>
        <v>0</v>
      </c>
      <c r="M48" s="18">
        <f aca="true" t="shared" si="71" ref="M48:M54">_xlfn.IFERROR(VLOOKUP($B48,$B$83:$M$138,12,FALSE),0)</f>
        <v>0</v>
      </c>
      <c r="N48" s="18">
        <f>(_xlfn.IFERROR(VLOOKUP($B48,$B$83:$N$138,13,FALSE),0))</f>
        <v>10668192</v>
      </c>
      <c r="O48" s="18">
        <f aca="true" t="shared" si="72" ref="O48:O54">_xlfn.IFERROR(VLOOKUP($B48,$B$83:$P$138,14,FALSE),0)</f>
        <v>0</v>
      </c>
      <c r="P48" s="18">
        <f aca="true" t="shared" si="73" ref="P48:P54">_xlfn.IFERROR(VLOOKUP($B48,$B$83:$P$138,15,FALSE),0)</f>
        <v>0</v>
      </c>
      <c r="Q48" s="19">
        <f aca="true" t="shared" si="74" ref="Q48:Q54">_xlfn.IFERROR(VLOOKUP($B48,$B$83:$R$138,16,FALSE),0)</f>
        <v>0</v>
      </c>
      <c r="R48" s="19">
        <f aca="true" t="shared" si="75" ref="R48:R54">_xlfn.IFERROR(VLOOKUP($B48,$B$83:$R$138,17,FALSE),0)</f>
        <v>0</v>
      </c>
      <c r="S48" s="19">
        <f aca="true" t="shared" si="76" ref="S48:S54">_xlfn.IFERROR(VLOOKUP($B48,$B$83:$T$138,18,FALSE),0)</f>
        <v>0</v>
      </c>
      <c r="T48" s="19">
        <f aca="true" t="shared" si="77" ref="T48:T54">_xlfn.IFERROR(VLOOKUP($B48,$B$83:$T$138,19,FALSE),0)</f>
        <v>10668292</v>
      </c>
      <c r="U48" s="19">
        <f aca="true" t="shared" si="78" ref="U48:U54">_xlfn.IFERROR(VLOOKUP($B48,$B$83:$V$138,20,FALSE),0)</f>
        <v>10380954</v>
      </c>
      <c r="V48" s="20">
        <f aca="true" t="shared" si="79" ref="V48:V54">T48-U48</f>
        <v>287338</v>
      </c>
      <c r="W48" s="17">
        <f t="shared" si="18"/>
        <v>0.027679344306891254</v>
      </c>
      <c r="X48" s="17"/>
    </row>
    <row r="49" spans="2:24" ht="12" customHeight="1">
      <c r="B49" s="28" t="s">
        <v>59</v>
      </c>
      <c r="C49" s="18">
        <f t="shared" si="61"/>
        <v>0</v>
      </c>
      <c r="D49" s="18">
        <f t="shared" si="62"/>
        <v>0</v>
      </c>
      <c r="E49" s="18">
        <f t="shared" si="63"/>
        <v>0</v>
      </c>
      <c r="F49" s="18">
        <f t="shared" si="64"/>
        <v>0</v>
      </c>
      <c r="G49" s="18">
        <f t="shared" si="65"/>
        <v>0</v>
      </c>
      <c r="H49" s="18">
        <f t="shared" si="66"/>
        <v>0</v>
      </c>
      <c r="I49" s="18">
        <f t="shared" si="67"/>
        <v>0</v>
      </c>
      <c r="J49" s="18">
        <f t="shared" si="68"/>
        <v>0</v>
      </c>
      <c r="K49" s="18">
        <f t="shared" si="69"/>
        <v>0</v>
      </c>
      <c r="L49" s="18">
        <f t="shared" si="70"/>
        <v>0</v>
      </c>
      <c r="M49" s="18">
        <f t="shared" si="71"/>
        <v>0</v>
      </c>
      <c r="N49" s="18">
        <f>(_xlfn.IFERROR(VLOOKUP($B49,$B$83:$N$138,13,FALSE),0))</f>
        <v>0</v>
      </c>
      <c r="O49" s="18">
        <f t="shared" si="72"/>
        <v>1364758</v>
      </c>
      <c r="P49" s="18">
        <f t="shared" si="73"/>
        <v>0</v>
      </c>
      <c r="Q49" s="19">
        <f t="shared" si="74"/>
        <v>0</v>
      </c>
      <c r="R49" s="19">
        <f t="shared" si="75"/>
        <v>0</v>
      </c>
      <c r="S49" s="19">
        <f t="shared" si="76"/>
        <v>0</v>
      </c>
      <c r="T49" s="19">
        <f t="shared" si="77"/>
        <v>1364758</v>
      </c>
      <c r="U49" s="19">
        <f t="shared" si="78"/>
        <v>1364758</v>
      </c>
      <c r="V49" s="20">
        <f t="shared" si="79"/>
        <v>0</v>
      </c>
      <c r="W49" s="17">
        <f t="shared" si="18"/>
        <v>0</v>
      </c>
      <c r="X49" s="17"/>
    </row>
    <row r="50" spans="2:24" ht="12" customHeight="1">
      <c r="B50" s="13" t="s">
        <v>60</v>
      </c>
      <c r="C50" s="18">
        <f t="shared" si="61"/>
        <v>10505</v>
      </c>
      <c r="D50" s="18">
        <f t="shared" si="62"/>
        <v>9187</v>
      </c>
      <c r="E50" s="18">
        <f t="shared" si="63"/>
        <v>0</v>
      </c>
      <c r="F50" s="18">
        <f t="shared" si="64"/>
        <v>8044</v>
      </c>
      <c r="G50" s="18">
        <f t="shared" si="65"/>
        <v>0</v>
      </c>
      <c r="H50" s="18">
        <f t="shared" si="66"/>
        <v>87669</v>
      </c>
      <c r="I50" s="18">
        <f t="shared" si="67"/>
        <v>10597</v>
      </c>
      <c r="J50" s="18">
        <f t="shared" si="68"/>
        <v>3423</v>
      </c>
      <c r="K50" s="18">
        <f t="shared" si="69"/>
        <v>30705</v>
      </c>
      <c r="L50" s="18">
        <f t="shared" si="70"/>
        <v>2960</v>
      </c>
      <c r="M50" s="18">
        <f t="shared" si="71"/>
        <v>0</v>
      </c>
      <c r="N50" s="18">
        <f>(_xlfn.IFERROR(VLOOKUP($B50,$B$83:$N$138,13,FALSE),0))</f>
        <v>67793</v>
      </c>
      <c r="O50" s="18">
        <f t="shared" si="72"/>
        <v>106000</v>
      </c>
      <c r="P50" s="18">
        <f t="shared" si="73"/>
        <v>72350</v>
      </c>
      <c r="Q50" s="19">
        <f t="shared" si="74"/>
        <v>3053</v>
      </c>
      <c r="R50" s="19">
        <f t="shared" si="75"/>
        <v>6283</v>
      </c>
      <c r="S50" s="19">
        <f t="shared" si="76"/>
        <v>33614</v>
      </c>
      <c r="T50" s="19">
        <f t="shared" si="77"/>
        <v>452183</v>
      </c>
      <c r="U50" s="19">
        <f t="shared" si="78"/>
        <v>457028</v>
      </c>
      <c r="V50" s="20">
        <f t="shared" si="79"/>
        <v>-4845</v>
      </c>
      <c r="W50" s="17">
        <f t="shared" si="18"/>
        <v>-0.010601101026632942</v>
      </c>
      <c r="X50" s="17"/>
    </row>
    <row r="51" spans="2:24" ht="12" customHeight="1">
      <c r="B51" s="13" t="s">
        <v>61</v>
      </c>
      <c r="C51" s="18">
        <f t="shared" si="61"/>
        <v>0</v>
      </c>
      <c r="D51" s="18">
        <f t="shared" si="62"/>
        <v>0</v>
      </c>
      <c r="E51" s="18">
        <f t="shared" si="63"/>
        <v>0</v>
      </c>
      <c r="F51" s="18">
        <f t="shared" si="64"/>
        <v>0</v>
      </c>
      <c r="G51" s="18">
        <f t="shared" si="65"/>
        <v>0</v>
      </c>
      <c r="H51" s="18">
        <f t="shared" si="66"/>
        <v>0</v>
      </c>
      <c r="I51" s="18">
        <f t="shared" si="67"/>
        <v>0</v>
      </c>
      <c r="J51" s="18">
        <f t="shared" si="68"/>
        <v>0</v>
      </c>
      <c r="K51" s="18">
        <f t="shared" si="69"/>
        <v>0</v>
      </c>
      <c r="L51" s="18">
        <f t="shared" si="70"/>
        <v>0</v>
      </c>
      <c r="M51" s="18">
        <f t="shared" si="71"/>
        <v>0</v>
      </c>
      <c r="N51" s="18">
        <f>_xlfn.IFERROR(VLOOKUP($B51,$B$83:$N$138,13,FALSE),0)</f>
        <v>0</v>
      </c>
      <c r="O51" s="18">
        <f t="shared" si="72"/>
        <v>0</v>
      </c>
      <c r="P51" s="18">
        <f t="shared" si="73"/>
        <v>1059425</v>
      </c>
      <c r="Q51" s="19">
        <f t="shared" si="74"/>
        <v>0</v>
      </c>
      <c r="R51" s="19">
        <f t="shared" si="75"/>
        <v>0</v>
      </c>
      <c r="S51" s="19">
        <f t="shared" si="76"/>
        <v>0</v>
      </c>
      <c r="T51" s="19">
        <f t="shared" si="77"/>
        <v>1059425</v>
      </c>
      <c r="U51" s="19">
        <f t="shared" si="78"/>
        <v>1057250</v>
      </c>
      <c r="V51" s="20">
        <f t="shared" si="79"/>
        <v>2175</v>
      </c>
      <c r="W51" s="17">
        <f t="shared" si="18"/>
        <v>0.002057223930007094</v>
      </c>
      <c r="X51" s="17"/>
    </row>
    <row r="52" spans="2:24" ht="12" customHeight="1">
      <c r="B52" s="13" t="s">
        <v>62</v>
      </c>
      <c r="C52" s="18">
        <f t="shared" si="61"/>
        <v>0</v>
      </c>
      <c r="D52" s="18">
        <f t="shared" si="62"/>
        <v>0</v>
      </c>
      <c r="E52" s="18">
        <f t="shared" si="63"/>
        <v>0</v>
      </c>
      <c r="F52" s="18">
        <f t="shared" si="64"/>
        <v>0</v>
      </c>
      <c r="G52" s="18">
        <f t="shared" si="65"/>
        <v>0</v>
      </c>
      <c r="H52" s="18">
        <f t="shared" si="66"/>
        <v>0</v>
      </c>
      <c r="I52" s="18">
        <f t="shared" si="67"/>
        <v>0</v>
      </c>
      <c r="J52" s="18">
        <f t="shared" si="68"/>
        <v>0</v>
      </c>
      <c r="K52" s="18">
        <f t="shared" si="69"/>
        <v>0</v>
      </c>
      <c r="L52" s="18">
        <f t="shared" si="70"/>
        <v>0</v>
      </c>
      <c r="M52" s="18">
        <f t="shared" si="71"/>
        <v>0</v>
      </c>
      <c r="N52" s="18">
        <f>(_xlfn.IFERROR(VLOOKUP($B52,$B$83:$N$138,13,FALSE),0))</f>
        <v>10567552</v>
      </c>
      <c r="O52" s="18">
        <f t="shared" si="72"/>
        <v>0</v>
      </c>
      <c r="P52" s="18">
        <f t="shared" si="73"/>
        <v>0</v>
      </c>
      <c r="Q52" s="19">
        <f t="shared" si="74"/>
        <v>0</v>
      </c>
      <c r="R52" s="19">
        <f t="shared" si="75"/>
        <v>0</v>
      </c>
      <c r="S52" s="19">
        <f t="shared" si="76"/>
        <v>0</v>
      </c>
      <c r="T52" s="19">
        <f t="shared" si="77"/>
        <v>10567552</v>
      </c>
      <c r="U52" s="19">
        <f t="shared" si="78"/>
        <v>10261333</v>
      </c>
      <c r="V52" s="20">
        <f t="shared" si="79"/>
        <v>306219</v>
      </c>
      <c r="W52" s="17">
        <f t="shared" si="18"/>
        <v>0.029842029295803967</v>
      </c>
      <c r="X52" s="17"/>
    </row>
    <row r="53" spans="2:24" ht="12" customHeight="1">
      <c r="B53" s="28" t="s">
        <v>63</v>
      </c>
      <c r="C53" s="18">
        <f t="shared" si="61"/>
        <v>0</v>
      </c>
      <c r="D53" s="18">
        <f t="shared" si="62"/>
        <v>0</v>
      </c>
      <c r="E53" s="18">
        <f t="shared" si="63"/>
        <v>0</v>
      </c>
      <c r="F53" s="18">
        <f t="shared" si="64"/>
        <v>0</v>
      </c>
      <c r="G53" s="18">
        <f t="shared" si="65"/>
        <v>0</v>
      </c>
      <c r="H53" s="18">
        <f t="shared" si="66"/>
        <v>0</v>
      </c>
      <c r="I53" s="18">
        <f t="shared" si="67"/>
        <v>0</v>
      </c>
      <c r="J53" s="18">
        <f t="shared" si="68"/>
        <v>0</v>
      </c>
      <c r="K53" s="18">
        <f t="shared" si="69"/>
        <v>0</v>
      </c>
      <c r="L53" s="18">
        <f t="shared" si="70"/>
        <v>0</v>
      </c>
      <c r="M53" s="18">
        <f t="shared" si="71"/>
        <v>0</v>
      </c>
      <c r="N53" s="18">
        <f>(_xlfn.IFERROR(VLOOKUP($B53,$B$83:$N$138,13,FALSE),0))</f>
        <v>0</v>
      </c>
      <c r="O53" s="18">
        <f t="shared" si="72"/>
        <v>10994874</v>
      </c>
      <c r="P53" s="18">
        <f t="shared" si="73"/>
        <v>0</v>
      </c>
      <c r="Q53" s="19">
        <f t="shared" si="74"/>
        <v>0</v>
      </c>
      <c r="R53" s="19">
        <f t="shared" si="75"/>
        <v>0</v>
      </c>
      <c r="S53" s="19">
        <f t="shared" si="76"/>
        <v>0</v>
      </c>
      <c r="T53" s="19">
        <f t="shared" si="77"/>
        <v>10994874</v>
      </c>
      <c r="U53" s="19">
        <f t="shared" si="78"/>
        <v>7195086</v>
      </c>
      <c r="V53" s="20">
        <f t="shared" si="79"/>
        <v>3799788</v>
      </c>
      <c r="W53" s="17">
        <f t="shared" si="18"/>
        <v>0.5281087675671979</v>
      </c>
      <c r="X53" s="17"/>
    </row>
    <row r="54" spans="2:24" ht="12" customHeight="1">
      <c r="B54" s="28" t="s">
        <v>64</v>
      </c>
      <c r="C54" s="18">
        <f t="shared" si="61"/>
        <v>0</v>
      </c>
      <c r="D54" s="18">
        <f t="shared" si="62"/>
        <v>0</v>
      </c>
      <c r="E54" s="18">
        <f t="shared" si="63"/>
        <v>0</v>
      </c>
      <c r="F54" s="18">
        <f t="shared" si="64"/>
        <v>0</v>
      </c>
      <c r="G54" s="18">
        <f t="shared" si="65"/>
        <v>0</v>
      </c>
      <c r="H54" s="18">
        <f t="shared" si="66"/>
        <v>0</v>
      </c>
      <c r="I54" s="18">
        <f t="shared" si="67"/>
        <v>0</v>
      </c>
      <c r="J54" s="18">
        <f t="shared" si="68"/>
        <v>0</v>
      </c>
      <c r="K54" s="18">
        <f t="shared" si="69"/>
        <v>0</v>
      </c>
      <c r="L54" s="18">
        <f t="shared" si="70"/>
        <v>0</v>
      </c>
      <c r="M54" s="18">
        <f t="shared" si="71"/>
        <v>0</v>
      </c>
      <c r="N54" s="18">
        <f>(_xlfn.IFERROR(VLOOKUP($B54,$B$83:$N$138,13,FALSE),0))</f>
        <v>19982558</v>
      </c>
      <c r="O54" s="18">
        <f t="shared" si="72"/>
        <v>0</v>
      </c>
      <c r="P54" s="18">
        <f t="shared" si="73"/>
        <v>0</v>
      </c>
      <c r="Q54" s="19">
        <f t="shared" si="74"/>
        <v>0</v>
      </c>
      <c r="R54" s="19">
        <f t="shared" si="75"/>
        <v>0</v>
      </c>
      <c r="S54" s="19">
        <f t="shared" si="76"/>
        <v>0</v>
      </c>
      <c r="T54" s="19">
        <f t="shared" si="77"/>
        <v>19982558</v>
      </c>
      <c r="U54" s="19">
        <f t="shared" si="78"/>
        <v>19939979</v>
      </c>
      <c r="V54" s="20">
        <f t="shared" si="79"/>
        <v>42579</v>
      </c>
      <c r="W54" s="17">
        <f t="shared" si="18"/>
        <v>0.0021353583170774654</v>
      </c>
      <c r="X54" s="17"/>
    </row>
    <row r="55" spans="2:24" s="26" customFormat="1" ht="12" customHeight="1">
      <c r="B55" s="22" t="s">
        <v>15</v>
      </c>
      <c r="C55" s="23">
        <f>SUM(C48:C54)</f>
        <v>10505</v>
      </c>
      <c r="D55" s="23">
        <f aca="true" t="shared" si="80" ref="D55:V55">SUM(D48:D54)</f>
        <v>9187</v>
      </c>
      <c r="E55" s="23">
        <f t="shared" si="80"/>
        <v>0</v>
      </c>
      <c r="F55" s="23">
        <f t="shared" si="80"/>
        <v>8044</v>
      </c>
      <c r="G55" s="23">
        <f t="shared" si="80"/>
        <v>0</v>
      </c>
      <c r="H55" s="23">
        <f t="shared" si="80"/>
        <v>87669</v>
      </c>
      <c r="I55" s="23">
        <f t="shared" si="80"/>
        <v>10697</v>
      </c>
      <c r="J55" s="23">
        <f t="shared" si="80"/>
        <v>3423</v>
      </c>
      <c r="K55" s="23">
        <f t="shared" si="80"/>
        <v>30705</v>
      </c>
      <c r="L55" s="23">
        <f t="shared" si="80"/>
        <v>2960</v>
      </c>
      <c r="M55" s="23">
        <f t="shared" si="80"/>
        <v>0</v>
      </c>
      <c r="N55" s="23">
        <f t="shared" si="80"/>
        <v>41286095</v>
      </c>
      <c r="O55" s="23">
        <f t="shared" si="80"/>
        <v>12465632</v>
      </c>
      <c r="P55" s="23">
        <f t="shared" si="80"/>
        <v>1131775</v>
      </c>
      <c r="Q55" s="23">
        <f t="shared" si="80"/>
        <v>3053</v>
      </c>
      <c r="R55" s="23">
        <f t="shared" si="80"/>
        <v>6283</v>
      </c>
      <c r="S55" s="23">
        <f t="shared" si="80"/>
        <v>33614</v>
      </c>
      <c r="T55" s="23">
        <f t="shared" si="80"/>
        <v>55089642</v>
      </c>
      <c r="U55" s="23">
        <f>SUM(U48:U54)</f>
        <v>50656388</v>
      </c>
      <c r="V55" s="23">
        <f t="shared" si="80"/>
        <v>4433254</v>
      </c>
      <c r="W55" s="24">
        <f t="shared" si="18"/>
        <v>0.0875161884815001</v>
      </c>
      <c r="X55" s="24"/>
    </row>
    <row r="56" spans="2:24" ht="12" customHeight="1">
      <c r="B56" s="28" t="s">
        <v>65</v>
      </c>
      <c r="C56" s="18">
        <f aca="true" t="shared" si="81" ref="C56:C61">_xlfn.IFERROR(VLOOKUP($B56,$B$83:$F$138,2,FALSE),0)</f>
        <v>0</v>
      </c>
      <c r="D56" s="18">
        <f aca="true" t="shared" si="82" ref="D56:D61">_xlfn.IFERROR(VLOOKUP(B56,$B$83:$D$138,3,FALSE),0)</f>
        <v>0</v>
      </c>
      <c r="E56" s="18">
        <f aca="true" t="shared" si="83" ref="E56:E61">_xlfn.IFERROR(VLOOKUP($B56,$B$83:$E$138,4,FALSE),0)</f>
        <v>0</v>
      </c>
      <c r="F56" s="18">
        <v>0</v>
      </c>
      <c r="G56" s="18">
        <f aca="true" t="shared" si="84" ref="G56:G61">_xlfn.IFERROR(VLOOKUP($B56,$B$83:$G$138,6,FALSE),0)</f>
        <v>0</v>
      </c>
      <c r="H56" s="18">
        <f aca="true" t="shared" si="85" ref="H56:H61">_xlfn.IFERROR(VLOOKUP($B56,$B$83:$H$138,7,FALSE),0)</f>
        <v>0</v>
      </c>
      <c r="I56" s="18">
        <v>0</v>
      </c>
      <c r="J56" s="18">
        <f aca="true" t="shared" si="86" ref="J56:J61">_xlfn.IFERROR(VLOOKUP($B56,$B$83:$J$138,9,FALSE),0)</f>
        <v>0</v>
      </c>
      <c r="K56" s="18">
        <f aca="true" t="shared" si="87" ref="K56:K61">_xlfn.IFERROR(VLOOKUP($B56,$B$83:$K$138,10,FALSE),0)</f>
        <v>29958</v>
      </c>
      <c r="L56" s="18">
        <f aca="true" t="shared" si="88" ref="L56:L61">_xlfn.IFERROR(VLOOKUP($B56,$B$83:$L$138,11,FALSE),0)</f>
        <v>0</v>
      </c>
      <c r="M56" s="18">
        <f aca="true" t="shared" si="89" ref="M56:M61">_xlfn.IFERROR(VLOOKUP($B56,$B$83:$M$138,12,FALSE),0)</f>
        <v>0</v>
      </c>
      <c r="N56" s="18">
        <v>0</v>
      </c>
      <c r="O56" s="18">
        <f aca="true" t="shared" si="90" ref="O56:O61">_xlfn.IFERROR(VLOOKUP($B56,$B$83:$P$138,14,FALSE),0)</f>
        <v>0</v>
      </c>
      <c r="P56" s="18">
        <f aca="true" t="shared" si="91" ref="P56:P61">_xlfn.IFERROR(VLOOKUP($B56,$B$83:$P$138,15,FALSE),0)</f>
        <v>0</v>
      </c>
      <c r="Q56" s="19">
        <f aca="true" t="shared" si="92" ref="Q56:Q61">_xlfn.IFERROR(VLOOKUP($B56,$B$83:$R$138,16,FALSE),0)</f>
        <v>0</v>
      </c>
      <c r="R56" s="19">
        <f aca="true" t="shared" si="93" ref="R56:R61">_xlfn.IFERROR(VLOOKUP($B56,$B$83:$R$138,17,FALSE),0)</f>
        <v>0</v>
      </c>
      <c r="S56" s="19">
        <f aca="true" t="shared" si="94" ref="S56:S61">_xlfn.IFERROR(VLOOKUP($B56,$B$83:$T$138,18,FALSE),0)</f>
        <v>0</v>
      </c>
      <c r="T56" s="19">
        <f>SUM(C56:S56)</f>
        <v>29958</v>
      </c>
      <c r="U56" s="19">
        <f aca="true" t="shared" si="95" ref="U56:U61">_xlfn.IFERROR(VLOOKUP($B56,$B$83:$V$138,20,FALSE),0)</f>
        <v>22416</v>
      </c>
      <c r="V56" s="20">
        <f aca="true" t="shared" si="96" ref="V56:V61">T56-U56</f>
        <v>7542</v>
      </c>
      <c r="W56" s="17">
        <f t="shared" si="18"/>
        <v>0.3364561027837259</v>
      </c>
      <c r="X56" s="17"/>
    </row>
    <row r="57" spans="2:24" ht="12" customHeight="1">
      <c r="B57" s="28" t="s">
        <v>66</v>
      </c>
      <c r="C57" s="18">
        <f t="shared" si="81"/>
        <v>0</v>
      </c>
      <c r="D57" s="18">
        <f t="shared" si="82"/>
        <v>0</v>
      </c>
      <c r="E57" s="18">
        <f t="shared" si="83"/>
        <v>0</v>
      </c>
      <c r="F57" s="18">
        <v>0</v>
      </c>
      <c r="G57" s="18">
        <f t="shared" si="84"/>
        <v>0</v>
      </c>
      <c r="H57" s="18">
        <f t="shared" si="85"/>
        <v>0</v>
      </c>
      <c r="I57" s="18">
        <v>0</v>
      </c>
      <c r="J57" s="18">
        <f t="shared" si="86"/>
        <v>0</v>
      </c>
      <c r="K57" s="18">
        <f t="shared" si="87"/>
        <v>0</v>
      </c>
      <c r="L57" s="18">
        <f t="shared" si="88"/>
        <v>1426601</v>
      </c>
      <c r="M57" s="18">
        <f t="shared" si="89"/>
        <v>0</v>
      </c>
      <c r="N57" s="18">
        <v>0</v>
      </c>
      <c r="O57" s="18">
        <f t="shared" si="90"/>
        <v>0</v>
      </c>
      <c r="P57" s="18">
        <f t="shared" si="91"/>
        <v>0</v>
      </c>
      <c r="Q57" s="19">
        <f t="shared" si="92"/>
        <v>0</v>
      </c>
      <c r="R57" s="19">
        <f t="shared" si="93"/>
        <v>0</v>
      </c>
      <c r="S57" s="19">
        <f t="shared" si="94"/>
        <v>0</v>
      </c>
      <c r="T57" s="19">
        <f>SUM(C57:S57)</f>
        <v>1426601</v>
      </c>
      <c r="U57" s="19">
        <f t="shared" si="95"/>
        <v>1426601</v>
      </c>
      <c r="V57" s="20">
        <f t="shared" si="96"/>
        <v>0</v>
      </c>
      <c r="W57" s="17">
        <f t="shared" si="18"/>
        <v>0</v>
      </c>
      <c r="X57" s="17"/>
    </row>
    <row r="58" spans="2:24" ht="12" customHeight="1">
      <c r="B58" s="28" t="s">
        <v>67</v>
      </c>
      <c r="C58" s="18">
        <f t="shared" si="81"/>
        <v>0</v>
      </c>
      <c r="D58" s="18">
        <f t="shared" si="82"/>
        <v>0</v>
      </c>
      <c r="E58" s="18">
        <f t="shared" si="83"/>
        <v>0</v>
      </c>
      <c r="F58" s="18">
        <f>_xlfn.IFERROR(VLOOKUP($B58,$B$83:$F$138,5,FALSE),0)</f>
        <v>0</v>
      </c>
      <c r="G58" s="18">
        <f t="shared" si="84"/>
        <v>0</v>
      </c>
      <c r="H58" s="18">
        <f t="shared" si="85"/>
        <v>0</v>
      </c>
      <c r="I58" s="18">
        <f>_xlfn.IFERROR(VLOOKUP($B58,$B$83:$I$138,8,FALSE),0)</f>
        <v>0</v>
      </c>
      <c r="J58" s="18">
        <f t="shared" si="86"/>
        <v>0</v>
      </c>
      <c r="K58" s="18">
        <f t="shared" si="87"/>
        <v>0</v>
      </c>
      <c r="L58" s="18">
        <f t="shared" si="88"/>
        <v>1019697</v>
      </c>
      <c r="M58" s="18">
        <f t="shared" si="89"/>
        <v>0</v>
      </c>
      <c r="N58" s="18">
        <f>(_xlfn.IFERROR(VLOOKUP($B58,$B$83:$N$138,13,FALSE),0))</f>
        <v>0</v>
      </c>
      <c r="O58" s="18">
        <f t="shared" si="90"/>
        <v>0</v>
      </c>
      <c r="P58" s="18">
        <f t="shared" si="91"/>
        <v>0</v>
      </c>
      <c r="Q58" s="19">
        <f t="shared" si="92"/>
        <v>0</v>
      </c>
      <c r="R58" s="19">
        <f t="shared" si="93"/>
        <v>0</v>
      </c>
      <c r="S58" s="19">
        <f t="shared" si="94"/>
        <v>0</v>
      </c>
      <c r="T58" s="19">
        <f>_xlfn.IFERROR(VLOOKUP($B58,$B$83:$T$138,19,FALSE),0)</f>
        <v>1019697</v>
      </c>
      <c r="U58" s="19">
        <f t="shared" si="95"/>
        <v>1019697</v>
      </c>
      <c r="V58" s="20">
        <f t="shared" si="96"/>
        <v>0</v>
      </c>
      <c r="W58" s="17">
        <f t="shared" si="18"/>
        <v>0</v>
      </c>
      <c r="X58" s="17"/>
    </row>
    <row r="59" spans="2:24" ht="12" customHeight="1">
      <c r="B59" s="28" t="s">
        <v>68</v>
      </c>
      <c r="C59" s="18">
        <f t="shared" si="81"/>
        <v>280</v>
      </c>
      <c r="D59" s="18">
        <f t="shared" si="82"/>
        <v>15246</v>
      </c>
      <c r="E59" s="18">
        <f t="shared" si="83"/>
        <v>0</v>
      </c>
      <c r="F59" s="18">
        <f>_xlfn.IFERROR(VLOOKUP($B59,$B$83:$F$138,5,FALSE),0)</f>
        <v>0</v>
      </c>
      <c r="G59" s="18">
        <f t="shared" si="84"/>
        <v>0</v>
      </c>
      <c r="H59" s="18">
        <f t="shared" si="85"/>
        <v>81057</v>
      </c>
      <c r="I59" s="18">
        <f>_xlfn.IFERROR(VLOOKUP($B59,$B$83:$I$138,8,FALSE),0)</f>
        <v>0</v>
      </c>
      <c r="J59" s="18">
        <f t="shared" si="86"/>
        <v>0</v>
      </c>
      <c r="K59" s="18">
        <f t="shared" si="87"/>
        <v>69488</v>
      </c>
      <c r="L59" s="18">
        <f t="shared" si="88"/>
        <v>1003733</v>
      </c>
      <c r="M59" s="18">
        <f t="shared" si="89"/>
        <v>0</v>
      </c>
      <c r="N59" s="18">
        <f>(_xlfn.IFERROR(VLOOKUP($B59,$B$83:$N$138,13,FALSE),0))</f>
        <v>0</v>
      </c>
      <c r="O59" s="18">
        <f t="shared" si="90"/>
        <v>0</v>
      </c>
      <c r="P59" s="18">
        <f t="shared" si="91"/>
        <v>0</v>
      </c>
      <c r="Q59" s="19">
        <f t="shared" si="92"/>
        <v>0</v>
      </c>
      <c r="R59" s="19">
        <f t="shared" si="93"/>
        <v>0</v>
      </c>
      <c r="S59" s="19">
        <f t="shared" si="94"/>
        <v>7636</v>
      </c>
      <c r="T59" s="19">
        <f>_xlfn.IFERROR(VLOOKUP($B59,$B$83:$T$138,19,FALSE),0)</f>
        <v>1177440</v>
      </c>
      <c r="U59" s="19">
        <f t="shared" si="95"/>
        <v>1172940</v>
      </c>
      <c r="V59" s="20">
        <f t="shared" si="96"/>
        <v>4500</v>
      </c>
      <c r="W59" s="17">
        <f t="shared" si="18"/>
        <v>0.0038365133766433065</v>
      </c>
      <c r="X59" s="17"/>
    </row>
    <row r="60" spans="2:24" ht="12" customHeight="1">
      <c r="B60" s="13" t="s">
        <v>69</v>
      </c>
      <c r="C60" s="18">
        <f t="shared" si="81"/>
        <v>4000</v>
      </c>
      <c r="D60" s="18">
        <f t="shared" si="82"/>
        <v>0</v>
      </c>
      <c r="E60" s="18">
        <f t="shared" si="83"/>
        <v>0</v>
      </c>
      <c r="F60" s="18">
        <f>_xlfn.IFERROR(VLOOKUP($B60,$B$83:$F$138,5,FALSE),0)</f>
        <v>0</v>
      </c>
      <c r="G60" s="18">
        <f t="shared" si="84"/>
        <v>0</v>
      </c>
      <c r="H60" s="18">
        <f t="shared" si="85"/>
        <v>0</v>
      </c>
      <c r="I60" s="18">
        <f>_xlfn.IFERROR(VLOOKUP($B60,$B$83:$I$138,8,FALSE),0)</f>
        <v>0</v>
      </c>
      <c r="J60" s="18">
        <f t="shared" si="86"/>
        <v>0</v>
      </c>
      <c r="K60" s="18">
        <f t="shared" si="87"/>
        <v>1122</v>
      </c>
      <c r="L60" s="18">
        <f t="shared" si="88"/>
        <v>8177</v>
      </c>
      <c r="M60" s="18">
        <f t="shared" si="89"/>
        <v>0</v>
      </c>
      <c r="N60" s="18">
        <f>(_xlfn.IFERROR(VLOOKUP($B60,$B$83:$N$138,13,FALSE),0))</f>
        <v>0</v>
      </c>
      <c r="O60" s="18">
        <f t="shared" si="90"/>
        <v>0</v>
      </c>
      <c r="P60" s="18">
        <f t="shared" si="91"/>
        <v>0</v>
      </c>
      <c r="Q60" s="19">
        <f t="shared" si="92"/>
        <v>0</v>
      </c>
      <c r="R60" s="19">
        <f t="shared" si="93"/>
        <v>0</v>
      </c>
      <c r="S60" s="19">
        <f t="shared" si="94"/>
        <v>0</v>
      </c>
      <c r="T60" s="19">
        <f>_xlfn.IFERROR(VLOOKUP($B60,$B$83:$T$138,19,FALSE),0)</f>
        <v>13299</v>
      </c>
      <c r="U60" s="19">
        <f t="shared" si="95"/>
        <v>9299</v>
      </c>
      <c r="V60" s="20">
        <f t="shared" si="96"/>
        <v>4000</v>
      </c>
      <c r="W60" s="17">
        <f t="shared" si="18"/>
        <v>0.4301537799763415</v>
      </c>
      <c r="X60" s="17"/>
    </row>
    <row r="61" spans="2:24" ht="12" customHeight="1">
      <c r="B61" s="13" t="s">
        <v>70</v>
      </c>
      <c r="C61" s="18">
        <f t="shared" si="81"/>
        <v>0</v>
      </c>
      <c r="D61" s="18">
        <f t="shared" si="82"/>
        <v>0</v>
      </c>
      <c r="E61" s="18">
        <f t="shared" si="83"/>
        <v>0</v>
      </c>
      <c r="F61" s="18">
        <f>_xlfn.IFERROR(VLOOKUP($B61,$B$83:$F$138,5,FALSE),0)</f>
        <v>0</v>
      </c>
      <c r="G61" s="18">
        <f t="shared" si="84"/>
        <v>0</v>
      </c>
      <c r="H61" s="18">
        <f t="shared" si="85"/>
        <v>0</v>
      </c>
      <c r="I61" s="18">
        <f>_xlfn.IFERROR(VLOOKUP($B61,$B$83:$I$138,8,FALSE),0)</f>
        <v>0</v>
      </c>
      <c r="J61" s="18">
        <f t="shared" si="86"/>
        <v>0</v>
      </c>
      <c r="K61" s="18">
        <f t="shared" si="87"/>
        <v>0</v>
      </c>
      <c r="L61" s="18">
        <f t="shared" si="88"/>
        <v>91960</v>
      </c>
      <c r="M61" s="18">
        <f t="shared" si="89"/>
        <v>0</v>
      </c>
      <c r="N61" s="18">
        <f>(_xlfn.IFERROR(VLOOKUP($B61,$B$83:$N$138,13,FALSE),0))</f>
        <v>0</v>
      </c>
      <c r="O61" s="18">
        <f t="shared" si="90"/>
        <v>0</v>
      </c>
      <c r="P61" s="18">
        <f t="shared" si="91"/>
        <v>0</v>
      </c>
      <c r="Q61" s="19">
        <f t="shared" si="92"/>
        <v>0</v>
      </c>
      <c r="R61" s="19">
        <f t="shared" si="93"/>
        <v>0</v>
      </c>
      <c r="S61" s="19">
        <f t="shared" si="94"/>
        <v>0</v>
      </c>
      <c r="T61" s="19">
        <f>_xlfn.IFERROR(VLOOKUP($B61,$B$83:$T$138,19,FALSE),0)</f>
        <v>91960</v>
      </c>
      <c r="U61" s="19">
        <f t="shared" si="95"/>
        <v>91960</v>
      </c>
      <c r="V61" s="20">
        <f t="shared" si="96"/>
        <v>0</v>
      </c>
      <c r="W61" s="17">
        <f t="shared" si="18"/>
        <v>0</v>
      </c>
      <c r="X61" s="17"/>
    </row>
    <row r="62" spans="2:24" s="26" customFormat="1" ht="12" customHeight="1">
      <c r="B62" s="22" t="s">
        <v>71</v>
      </c>
      <c r="C62" s="23">
        <f>SUM(C56:C61)</f>
        <v>4280</v>
      </c>
      <c r="D62" s="23">
        <f aca="true" t="shared" si="97" ref="D62:V62">SUM(D56:D61)</f>
        <v>15246</v>
      </c>
      <c r="E62" s="23">
        <f t="shared" si="97"/>
        <v>0</v>
      </c>
      <c r="F62" s="23">
        <f t="shared" si="97"/>
        <v>0</v>
      </c>
      <c r="G62" s="23">
        <f t="shared" si="97"/>
        <v>0</v>
      </c>
      <c r="H62" s="23">
        <f t="shared" si="97"/>
        <v>81057</v>
      </c>
      <c r="I62" s="23">
        <f t="shared" si="97"/>
        <v>0</v>
      </c>
      <c r="J62" s="23">
        <f t="shared" si="97"/>
        <v>0</v>
      </c>
      <c r="K62" s="23">
        <f t="shared" si="97"/>
        <v>100568</v>
      </c>
      <c r="L62" s="23">
        <f t="shared" si="97"/>
        <v>3550168</v>
      </c>
      <c r="M62" s="23">
        <f t="shared" si="97"/>
        <v>0</v>
      </c>
      <c r="N62" s="23">
        <f t="shared" si="97"/>
        <v>0</v>
      </c>
      <c r="O62" s="23">
        <f t="shared" si="97"/>
        <v>0</v>
      </c>
      <c r="P62" s="23">
        <f t="shared" si="97"/>
        <v>0</v>
      </c>
      <c r="Q62" s="23">
        <f t="shared" si="97"/>
        <v>0</v>
      </c>
      <c r="R62" s="23">
        <f t="shared" si="97"/>
        <v>0</v>
      </c>
      <c r="S62" s="23">
        <f t="shared" si="97"/>
        <v>7636</v>
      </c>
      <c r="T62" s="23">
        <f t="shared" si="97"/>
        <v>3758955</v>
      </c>
      <c r="U62" s="23">
        <f>SUM(U56:U61)</f>
        <v>3742913</v>
      </c>
      <c r="V62" s="23">
        <f t="shared" si="97"/>
        <v>16042</v>
      </c>
      <c r="W62" s="24">
        <f t="shared" si="18"/>
        <v>0.004285966572025585</v>
      </c>
      <c r="X62" s="24"/>
    </row>
    <row r="63" spans="2:24" ht="12" customHeight="1">
      <c r="B63" s="13" t="s">
        <v>72</v>
      </c>
      <c r="C63" s="18">
        <f aca="true" t="shared" si="98" ref="C63:C73">_xlfn.IFERROR(VLOOKUP($B63,$B$83:$F$138,2,FALSE),0)</f>
        <v>2308</v>
      </c>
      <c r="D63" s="18">
        <f aca="true" t="shared" si="99" ref="D63:D73">_xlfn.IFERROR(VLOOKUP(B63,$B$83:$D$138,3,FALSE),0)</f>
        <v>2382</v>
      </c>
      <c r="E63" s="18">
        <f aca="true" t="shared" si="100" ref="E63:E73">_xlfn.IFERROR(VLOOKUP($B63,$B$83:$E$138,4,FALSE),0)</f>
        <v>59697</v>
      </c>
      <c r="F63" s="18">
        <f aca="true" t="shared" si="101" ref="F63:F73">_xlfn.IFERROR(VLOOKUP($B63,$B$83:$F$138,5,FALSE),0)</f>
        <v>0</v>
      </c>
      <c r="G63" s="18">
        <f aca="true" t="shared" si="102" ref="G63:G73">_xlfn.IFERROR(VLOOKUP($B63,$B$83:$G$138,6,FALSE),0)</f>
        <v>0</v>
      </c>
      <c r="H63" s="18">
        <f aca="true" t="shared" si="103" ref="H63:H73">_xlfn.IFERROR(VLOOKUP($B63,$B$83:$H$138,7,FALSE),0)</f>
        <v>8418</v>
      </c>
      <c r="I63" s="18">
        <f aca="true" t="shared" si="104" ref="I63:I73">_xlfn.IFERROR(VLOOKUP($B63,$B$83:$I$138,8,FALSE),0)</f>
        <v>646</v>
      </c>
      <c r="J63" s="18">
        <f aca="true" t="shared" si="105" ref="J63:J73">_xlfn.IFERROR(VLOOKUP($B63,$B$83:$J$138,9,FALSE),0)</f>
        <v>600</v>
      </c>
      <c r="K63" s="18">
        <f aca="true" t="shared" si="106" ref="K63:K73">_xlfn.IFERROR(VLOOKUP($B63,$B$83:$K$138,10,FALSE),0)</f>
        <v>1571</v>
      </c>
      <c r="L63" s="18">
        <f aca="true" t="shared" si="107" ref="L63:L73">_xlfn.IFERROR(VLOOKUP($B63,$B$83:$L$138,11,FALSE),0)</f>
        <v>12941</v>
      </c>
      <c r="M63" s="18">
        <f aca="true" t="shared" si="108" ref="M63:M73">_xlfn.IFERROR(VLOOKUP($B63,$B$83:$M$138,12,FALSE),0)</f>
        <v>0</v>
      </c>
      <c r="N63" s="18">
        <f aca="true" t="shared" si="109" ref="N63:N73">(_xlfn.IFERROR(VLOOKUP($B63,$B$83:$N$138,13,FALSE),0))</f>
        <v>30525</v>
      </c>
      <c r="O63" s="18">
        <f aca="true" t="shared" si="110" ref="O63:O73">_xlfn.IFERROR(VLOOKUP($B63,$B$83:$P$138,14,FALSE),0)</f>
        <v>0</v>
      </c>
      <c r="P63" s="18">
        <f aca="true" t="shared" si="111" ref="P63:P73">_xlfn.IFERROR(VLOOKUP($B63,$B$83:$P$138,15,FALSE),0)</f>
        <v>6100</v>
      </c>
      <c r="Q63" s="19">
        <f aca="true" t="shared" si="112" ref="Q63:Q73">_xlfn.IFERROR(VLOOKUP($B63,$B$83:$R$138,16,FALSE),0)</f>
        <v>2013</v>
      </c>
      <c r="R63" s="19">
        <f aca="true" t="shared" si="113" ref="R63:R73">_xlfn.IFERROR(VLOOKUP($B63,$B$83:$R$138,17,FALSE),0)</f>
        <v>0</v>
      </c>
      <c r="S63" s="19">
        <f aca="true" t="shared" si="114" ref="S63:S73">_xlfn.IFERROR(VLOOKUP($B63,$B$83:$T$138,18,FALSE),0)</f>
        <v>0</v>
      </c>
      <c r="T63" s="19">
        <f aca="true" t="shared" si="115" ref="T63:T73">_xlfn.IFERROR(VLOOKUP($B63,$B$83:$T$138,19,FALSE),0)</f>
        <v>127201</v>
      </c>
      <c r="U63" s="19">
        <f aca="true" t="shared" si="116" ref="U63:U73">_xlfn.IFERROR(VLOOKUP($B63,$B$83:$V$138,20,FALSE),0)</f>
        <v>126232</v>
      </c>
      <c r="V63" s="20">
        <f>T63-U63</f>
        <v>969</v>
      </c>
      <c r="W63" s="17">
        <f t="shared" si="18"/>
        <v>0.007676341973509094</v>
      </c>
      <c r="X63" s="17"/>
    </row>
    <row r="64" spans="2:24" ht="12" customHeight="1">
      <c r="B64" s="28" t="s">
        <v>73</v>
      </c>
      <c r="C64" s="18">
        <f t="shared" si="98"/>
        <v>0</v>
      </c>
      <c r="D64" s="18">
        <f t="shared" si="99"/>
        <v>0</v>
      </c>
      <c r="E64" s="18">
        <f t="shared" si="100"/>
        <v>0</v>
      </c>
      <c r="F64" s="18">
        <f t="shared" si="101"/>
        <v>0</v>
      </c>
      <c r="G64" s="18">
        <f t="shared" si="102"/>
        <v>0</v>
      </c>
      <c r="H64" s="18">
        <f t="shared" si="103"/>
        <v>0</v>
      </c>
      <c r="I64" s="18">
        <f t="shared" si="104"/>
        <v>0</v>
      </c>
      <c r="J64" s="18">
        <f t="shared" si="105"/>
        <v>0</v>
      </c>
      <c r="K64" s="18">
        <f t="shared" si="106"/>
        <v>0</v>
      </c>
      <c r="L64" s="18">
        <f t="shared" si="107"/>
        <v>0</v>
      </c>
      <c r="M64" s="18">
        <f t="shared" si="108"/>
        <v>0</v>
      </c>
      <c r="N64" s="18">
        <f t="shared" si="109"/>
        <v>0</v>
      </c>
      <c r="O64" s="18">
        <f t="shared" si="110"/>
        <v>0</v>
      </c>
      <c r="P64" s="18">
        <f t="shared" si="111"/>
        <v>0</v>
      </c>
      <c r="Q64" s="19">
        <f t="shared" si="112"/>
        <v>0</v>
      </c>
      <c r="R64" s="19">
        <f t="shared" si="113"/>
        <v>0</v>
      </c>
      <c r="S64" s="19">
        <f t="shared" si="114"/>
        <v>2349211</v>
      </c>
      <c r="T64" s="19">
        <f t="shared" si="115"/>
        <v>2349211</v>
      </c>
      <c r="U64" s="19">
        <f t="shared" si="116"/>
        <v>1774172</v>
      </c>
      <c r="V64" s="20">
        <f>T64-U64</f>
        <v>575039</v>
      </c>
      <c r="W64" s="17">
        <f t="shared" si="18"/>
        <v>0.3241168274552862</v>
      </c>
      <c r="X64" s="17"/>
    </row>
    <row r="65" spans="2:24" ht="12" customHeight="1">
      <c r="B65" s="28" t="s">
        <v>74</v>
      </c>
      <c r="C65" s="18">
        <f t="shared" si="98"/>
        <v>0</v>
      </c>
      <c r="D65" s="18">
        <f t="shared" si="99"/>
        <v>0</v>
      </c>
      <c r="E65" s="18">
        <f t="shared" si="100"/>
        <v>0</v>
      </c>
      <c r="F65" s="18">
        <f t="shared" si="101"/>
        <v>0</v>
      </c>
      <c r="G65" s="18">
        <f t="shared" si="102"/>
        <v>0</v>
      </c>
      <c r="H65" s="18">
        <f t="shared" si="103"/>
        <v>0</v>
      </c>
      <c r="I65" s="18">
        <f t="shared" si="104"/>
        <v>0</v>
      </c>
      <c r="J65" s="18">
        <f t="shared" si="105"/>
        <v>0</v>
      </c>
      <c r="K65" s="18">
        <f t="shared" si="106"/>
        <v>0</v>
      </c>
      <c r="L65" s="18">
        <f t="shared" si="107"/>
        <v>1752</v>
      </c>
      <c r="M65" s="18">
        <f t="shared" si="108"/>
        <v>0</v>
      </c>
      <c r="N65" s="18">
        <f t="shared" si="109"/>
        <v>0</v>
      </c>
      <c r="O65" s="18">
        <f t="shared" si="110"/>
        <v>0</v>
      </c>
      <c r="P65" s="18">
        <f t="shared" si="111"/>
        <v>0</v>
      </c>
      <c r="Q65" s="19">
        <f t="shared" si="112"/>
        <v>0</v>
      </c>
      <c r="R65" s="19">
        <f t="shared" si="113"/>
        <v>0</v>
      </c>
      <c r="S65" s="19">
        <f t="shared" si="114"/>
        <v>0</v>
      </c>
      <c r="T65" s="19">
        <f t="shared" si="115"/>
        <v>1752</v>
      </c>
      <c r="U65" s="19">
        <f t="shared" si="116"/>
        <v>1752</v>
      </c>
      <c r="V65" s="20">
        <f>T65-U65</f>
        <v>0</v>
      </c>
      <c r="W65" s="17">
        <f t="shared" si="18"/>
        <v>0</v>
      </c>
      <c r="X65" s="17"/>
    </row>
    <row r="66" spans="2:24" ht="12" customHeight="1">
      <c r="B66" s="13" t="s">
        <v>75</v>
      </c>
      <c r="C66" s="18">
        <f t="shared" si="98"/>
        <v>14776</v>
      </c>
      <c r="D66" s="18">
        <f t="shared" si="99"/>
        <v>14760</v>
      </c>
      <c r="E66" s="18">
        <f t="shared" si="100"/>
        <v>15430</v>
      </c>
      <c r="F66" s="18">
        <f t="shared" si="101"/>
        <v>11578</v>
      </c>
      <c r="G66" s="18">
        <f t="shared" si="102"/>
        <v>0</v>
      </c>
      <c r="H66" s="18">
        <f t="shared" si="103"/>
        <v>6371</v>
      </c>
      <c r="I66" s="18">
        <f t="shared" si="104"/>
        <v>5000</v>
      </c>
      <c r="J66" s="18">
        <f t="shared" si="105"/>
        <v>12869</v>
      </c>
      <c r="K66" s="18">
        <f t="shared" si="106"/>
        <v>20670</v>
      </c>
      <c r="L66" s="18">
        <f t="shared" si="107"/>
        <v>55010</v>
      </c>
      <c r="M66" s="18">
        <f t="shared" si="108"/>
        <v>0</v>
      </c>
      <c r="N66" s="18">
        <f t="shared" si="109"/>
        <v>20005</v>
      </c>
      <c r="O66" s="18">
        <f t="shared" si="110"/>
        <v>47400</v>
      </c>
      <c r="P66" s="18">
        <f t="shared" si="111"/>
        <v>43100</v>
      </c>
      <c r="Q66" s="19">
        <f t="shared" si="112"/>
        <v>31579</v>
      </c>
      <c r="R66" s="19">
        <f t="shared" si="113"/>
        <v>11711</v>
      </c>
      <c r="S66" s="19">
        <f t="shared" si="114"/>
        <v>18449</v>
      </c>
      <c r="T66" s="19">
        <f t="shared" si="115"/>
        <v>328708</v>
      </c>
      <c r="U66" s="19">
        <f t="shared" si="116"/>
        <v>302403</v>
      </c>
      <c r="V66" s="20">
        <f>T66-U66</f>
        <v>26305</v>
      </c>
      <c r="W66" s="17">
        <f t="shared" si="18"/>
        <v>0.08698657090042096</v>
      </c>
      <c r="X66" s="17"/>
    </row>
    <row r="67" spans="2:24" ht="12" customHeight="1">
      <c r="B67" s="13" t="s">
        <v>76</v>
      </c>
      <c r="C67" s="18">
        <f t="shared" si="98"/>
        <v>3418</v>
      </c>
      <c r="D67" s="18">
        <f t="shared" si="99"/>
        <v>50093</v>
      </c>
      <c r="E67" s="18">
        <f t="shared" si="100"/>
        <v>8500</v>
      </c>
      <c r="F67" s="18">
        <f t="shared" si="101"/>
        <v>3661</v>
      </c>
      <c r="G67" s="18">
        <f t="shared" si="102"/>
        <v>0</v>
      </c>
      <c r="H67" s="18">
        <f t="shared" si="103"/>
        <v>8440</v>
      </c>
      <c r="I67" s="18">
        <f t="shared" si="104"/>
        <v>5060</v>
      </c>
      <c r="J67" s="18">
        <f t="shared" si="105"/>
        <v>77763</v>
      </c>
      <c r="K67" s="18">
        <f t="shared" si="106"/>
        <v>76391</v>
      </c>
      <c r="L67" s="18">
        <f t="shared" si="107"/>
        <v>28155</v>
      </c>
      <c r="M67" s="18">
        <f t="shared" si="108"/>
        <v>1120</v>
      </c>
      <c r="N67" s="18">
        <f t="shared" si="109"/>
        <v>29429</v>
      </c>
      <c r="O67" s="18">
        <f t="shared" si="110"/>
        <v>7900</v>
      </c>
      <c r="P67" s="18">
        <f t="shared" si="111"/>
        <v>25615</v>
      </c>
      <c r="Q67" s="19">
        <f t="shared" si="112"/>
        <v>11278</v>
      </c>
      <c r="R67" s="19">
        <f t="shared" si="113"/>
        <v>3855</v>
      </c>
      <c r="S67" s="19">
        <f t="shared" si="114"/>
        <v>5424</v>
      </c>
      <c r="T67" s="19">
        <f t="shared" si="115"/>
        <v>346102</v>
      </c>
      <c r="U67" s="19">
        <f t="shared" si="116"/>
        <v>427665</v>
      </c>
      <c r="V67" s="20">
        <f>T67-U67</f>
        <v>-81563</v>
      </c>
      <c r="W67" s="17">
        <f t="shared" si="18"/>
        <v>-0.19071703319186747</v>
      </c>
      <c r="X67" s="17"/>
    </row>
    <row r="68" spans="2:24" ht="12" customHeight="1">
      <c r="B68" s="13" t="s">
        <v>77</v>
      </c>
      <c r="C68" s="18">
        <f t="shared" si="98"/>
        <v>0</v>
      </c>
      <c r="D68" s="18">
        <f t="shared" si="99"/>
        <v>0</v>
      </c>
      <c r="E68" s="18">
        <f t="shared" si="100"/>
        <v>0</v>
      </c>
      <c r="F68" s="18">
        <f t="shared" si="101"/>
        <v>0</v>
      </c>
      <c r="G68" s="18">
        <f t="shared" si="102"/>
        <v>0</v>
      </c>
      <c r="H68" s="18">
        <f t="shared" si="103"/>
        <v>0</v>
      </c>
      <c r="I68" s="18">
        <f t="shared" si="104"/>
        <v>0</v>
      </c>
      <c r="J68" s="18">
        <f t="shared" si="105"/>
        <v>0</v>
      </c>
      <c r="K68" s="18">
        <f t="shared" si="106"/>
        <v>0</v>
      </c>
      <c r="L68" s="18">
        <f t="shared" si="107"/>
        <v>0</v>
      </c>
      <c r="M68" s="18">
        <f t="shared" si="108"/>
        <v>0</v>
      </c>
      <c r="N68" s="18">
        <f t="shared" si="109"/>
        <v>0</v>
      </c>
      <c r="O68" s="18">
        <f t="shared" si="110"/>
        <v>0</v>
      </c>
      <c r="P68" s="18">
        <f t="shared" si="111"/>
        <v>0</v>
      </c>
      <c r="Q68" s="19">
        <f t="shared" si="112"/>
        <v>0</v>
      </c>
      <c r="R68" s="19">
        <f t="shared" si="113"/>
        <v>0</v>
      </c>
      <c r="S68" s="19">
        <f t="shared" si="114"/>
        <v>6182</v>
      </c>
      <c r="T68" s="19">
        <f t="shared" si="115"/>
        <v>6182</v>
      </c>
      <c r="U68" s="19">
        <f t="shared" si="116"/>
        <v>6182</v>
      </c>
      <c r="V68" s="20">
        <f>T68-U68</f>
        <v>0</v>
      </c>
      <c r="W68" s="17">
        <f t="shared" si="18"/>
        <v>0</v>
      </c>
      <c r="X68" s="17"/>
    </row>
    <row r="69" spans="2:24" ht="12" customHeight="1">
      <c r="B69" s="13" t="s">
        <v>78</v>
      </c>
      <c r="C69" s="18">
        <f t="shared" si="98"/>
        <v>8335</v>
      </c>
      <c r="D69" s="18">
        <f t="shared" si="99"/>
        <v>876</v>
      </c>
      <c r="E69" s="18">
        <f t="shared" si="100"/>
        <v>2842</v>
      </c>
      <c r="F69" s="18">
        <f t="shared" si="101"/>
        <v>3169</v>
      </c>
      <c r="G69" s="18">
        <f t="shared" si="102"/>
        <v>0</v>
      </c>
      <c r="H69" s="18">
        <f t="shared" si="103"/>
        <v>5065</v>
      </c>
      <c r="I69" s="18">
        <f t="shared" si="104"/>
        <v>2828</v>
      </c>
      <c r="J69" s="18">
        <f t="shared" si="105"/>
        <v>42129</v>
      </c>
      <c r="K69" s="18">
        <f t="shared" si="106"/>
        <v>8043</v>
      </c>
      <c r="L69" s="18">
        <f t="shared" si="107"/>
        <v>6967</v>
      </c>
      <c r="M69" s="18">
        <f t="shared" si="108"/>
        <v>57091</v>
      </c>
      <c r="N69" s="18">
        <f t="shared" si="109"/>
        <v>180650</v>
      </c>
      <c r="O69" s="18">
        <f t="shared" si="110"/>
        <v>112200</v>
      </c>
      <c r="P69" s="18">
        <f t="shared" si="111"/>
        <v>21100</v>
      </c>
      <c r="Q69" s="19">
        <f t="shared" si="112"/>
        <v>775</v>
      </c>
      <c r="R69" s="19">
        <f t="shared" si="113"/>
        <v>1790</v>
      </c>
      <c r="S69" s="19">
        <f t="shared" si="114"/>
        <v>14525</v>
      </c>
      <c r="T69" s="19">
        <f t="shared" si="115"/>
        <v>468385</v>
      </c>
      <c r="U69" s="19">
        <f t="shared" si="116"/>
        <v>549025</v>
      </c>
      <c r="V69" s="20">
        <f>T69-U69</f>
        <v>-80640</v>
      </c>
      <c r="W69" s="17">
        <f t="shared" si="18"/>
        <v>-0.1468785574427394</v>
      </c>
      <c r="X69" s="17"/>
    </row>
    <row r="70" spans="2:24" ht="12" customHeight="1">
      <c r="B70" s="28" t="s">
        <v>79</v>
      </c>
      <c r="C70" s="18">
        <f t="shared" si="98"/>
        <v>537</v>
      </c>
      <c r="D70" s="18">
        <f t="shared" si="99"/>
        <v>274</v>
      </c>
      <c r="E70" s="18">
        <f t="shared" si="100"/>
        <v>1099</v>
      </c>
      <c r="F70" s="18">
        <f t="shared" si="101"/>
        <v>635</v>
      </c>
      <c r="G70" s="18">
        <f t="shared" si="102"/>
        <v>0</v>
      </c>
      <c r="H70" s="18">
        <f t="shared" si="103"/>
        <v>752</v>
      </c>
      <c r="I70" s="18">
        <f t="shared" si="104"/>
        <v>19</v>
      </c>
      <c r="J70" s="18">
        <f t="shared" si="105"/>
        <v>537</v>
      </c>
      <c r="K70" s="18">
        <f t="shared" si="106"/>
        <v>140</v>
      </c>
      <c r="L70" s="18">
        <f t="shared" si="107"/>
        <v>332</v>
      </c>
      <c r="M70" s="18">
        <f t="shared" si="108"/>
        <v>0</v>
      </c>
      <c r="N70" s="18">
        <f t="shared" si="109"/>
        <v>1144</v>
      </c>
      <c r="O70" s="18">
        <f t="shared" si="110"/>
        <v>0</v>
      </c>
      <c r="P70" s="18">
        <f t="shared" si="111"/>
        <v>400</v>
      </c>
      <c r="Q70" s="19">
        <f t="shared" si="112"/>
        <v>215</v>
      </c>
      <c r="R70" s="19">
        <f t="shared" si="113"/>
        <v>456</v>
      </c>
      <c r="S70" s="19">
        <f t="shared" si="114"/>
        <v>171</v>
      </c>
      <c r="T70" s="19">
        <f t="shared" si="115"/>
        <v>6711</v>
      </c>
      <c r="U70" s="19">
        <f t="shared" si="116"/>
        <v>6611</v>
      </c>
      <c r="V70" s="20">
        <f>T70-U70</f>
        <v>100</v>
      </c>
      <c r="W70" s="17">
        <f>IF(U70=0,100%,V70/U70)</f>
        <v>0.015126304643775526</v>
      </c>
      <c r="X70" s="17"/>
    </row>
    <row r="71" spans="2:24" ht="12" customHeight="1">
      <c r="B71" s="13" t="s">
        <v>80</v>
      </c>
      <c r="C71" s="18">
        <f t="shared" si="98"/>
        <v>0</v>
      </c>
      <c r="D71" s="18">
        <f t="shared" si="99"/>
        <v>0</v>
      </c>
      <c r="E71" s="18">
        <f t="shared" si="100"/>
        <v>0</v>
      </c>
      <c r="F71" s="18">
        <f t="shared" si="101"/>
        <v>0</v>
      </c>
      <c r="G71" s="18">
        <f t="shared" si="102"/>
        <v>0</v>
      </c>
      <c r="H71" s="18">
        <f t="shared" si="103"/>
        <v>0</v>
      </c>
      <c r="I71" s="18">
        <f t="shared" si="104"/>
        <v>1600</v>
      </c>
      <c r="J71" s="18">
        <f t="shared" si="105"/>
        <v>0</v>
      </c>
      <c r="K71" s="18">
        <f t="shared" si="106"/>
        <v>0</v>
      </c>
      <c r="L71" s="18">
        <f t="shared" si="107"/>
        <v>0</v>
      </c>
      <c r="M71" s="18">
        <f t="shared" si="108"/>
        <v>0</v>
      </c>
      <c r="N71" s="18">
        <f t="shared" si="109"/>
        <v>0</v>
      </c>
      <c r="O71" s="18">
        <f t="shared" si="110"/>
        <v>0</v>
      </c>
      <c r="P71" s="18">
        <f t="shared" si="111"/>
        <v>0</v>
      </c>
      <c r="Q71" s="19">
        <f t="shared" si="112"/>
        <v>0</v>
      </c>
      <c r="R71" s="19">
        <f t="shared" si="113"/>
        <v>0</v>
      </c>
      <c r="S71" s="19">
        <f t="shared" si="114"/>
        <v>0</v>
      </c>
      <c r="T71" s="19">
        <f t="shared" si="115"/>
        <v>1600</v>
      </c>
      <c r="U71" s="19">
        <f t="shared" si="116"/>
        <v>1600</v>
      </c>
      <c r="V71" s="20">
        <f>T71-U71</f>
        <v>0</v>
      </c>
      <c r="W71" s="17">
        <f t="shared" si="18"/>
        <v>0</v>
      </c>
      <c r="X71" s="17"/>
    </row>
    <row r="72" spans="2:24" ht="12" customHeight="1">
      <c r="B72" s="28" t="s">
        <v>81</v>
      </c>
      <c r="C72" s="18">
        <f t="shared" si="98"/>
        <v>0</v>
      </c>
      <c r="D72" s="18">
        <f t="shared" si="99"/>
        <v>0</v>
      </c>
      <c r="E72" s="18">
        <f t="shared" si="100"/>
        <v>0</v>
      </c>
      <c r="F72" s="18">
        <f t="shared" si="101"/>
        <v>0</v>
      </c>
      <c r="G72" s="18">
        <f t="shared" si="102"/>
        <v>0</v>
      </c>
      <c r="H72" s="18">
        <f t="shared" si="103"/>
        <v>0</v>
      </c>
      <c r="I72" s="18">
        <f t="shared" si="104"/>
        <v>0</v>
      </c>
      <c r="J72" s="18">
        <f t="shared" si="105"/>
        <v>0</v>
      </c>
      <c r="K72" s="18">
        <f t="shared" si="106"/>
        <v>0</v>
      </c>
      <c r="L72" s="18">
        <f t="shared" si="107"/>
        <v>0</v>
      </c>
      <c r="M72" s="18">
        <f t="shared" si="108"/>
        <v>0</v>
      </c>
      <c r="N72" s="18">
        <f t="shared" si="109"/>
        <v>201355</v>
      </c>
      <c r="O72" s="18">
        <f t="shared" si="110"/>
        <v>0</v>
      </c>
      <c r="P72" s="18">
        <f t="shared" si="111"/>
        <v>0</v>
      </c>
      <c r="Q72" s="19">
        <f t="shared" si="112"/>
        <v>0</v>
      </c>
      <c r="R72" s="19">
        <f t="shared" si="113"/>
        <v>0</v>
      </c>
      <c r="S72" s="19">
        <f t="shared" si="114"/>
        <v>0</v>
      </c>
      <c r="T72" s="19">
        <f t="shared" si="115"/>
        <v>201355</v>
      </c>
      <c r="U72" s="19">
        <f t="shared" si="116"/>
        <v>781355</v>
      </c>
      <c r="V72" s="20">
        <f>T72-U72</f>
        <v>-580000</v>
      </c>
      <c r="W72" s="17">
        <f>IF(U72=0,100%,V72/U72)</f>
        <v>-0.7423002348484363</v>
      </c>
      <c r="X72" s="17"/>
    </row>
    <row r="73" spans="2:24" ht="12" customHeight="1">
      <c r="B73" s="28" t="s">
        <v>82</v>
      </c>
      <c r="C73" s="18">
        <f t="shared" si="98"/>
        <v>0</v>
      </c>
      <c r="D73" s="18">
        <f t="shared" si="99"/>
        <v>0</v>
      </c>
      <c r="E73" s="18">
        <f t="shared" si="100"/>
        <v>0</v>
      </c>
      <c r="F73" s="18">
        <f t="shared" si="101"/>
        <v>0</v>
      </c>
      <c r="G73" s="18">
        <f t="shared" si="102"/>
        <v>0</v>
      </c>
      <c r="H73" s="18">
        <f t="shared" si="103"/>
        <v>0</v>
      </c>
      <c r="I73" s="18">
        <f t="shared" si="104"/>
        <v>0</v>
      </c>
      <c r="J73" s="18">
        <f t="shared" si="105"/>
        <v>0</v>
      </c>
      <c r="K73" s="18">
        <f t="shared" si="106"/>
        <v>0</v>
      </c>
      <c r="L73" s="18">
        <f t="shared" si="107"/>
        <v>0</v>
      </c>
      <c r="M73" s="18">
        <f t="shared" si="108"/>
        <v>0</v>
      </c>
      <c r="N73" s="18">
        <f t="shared" si="109"/>
        <v>0</v>
      </c>
      <c r="O73" s="18">
        <f t="shared" si="110"/>
        <v>0</v>
      </c>
      <c r="P73" s="18">
        <f t="shared" si="111"/>
        <v>0</v>
      </c>
      <c r="Q73" s="19">
        <f t="shared" si="112"/>
        <v>0</v>
      </c>
      <c r="R73" s="19">
        <f t="shared" si="113"/>
        <v>0</v>
      </c>
      <c r="S73" s="19">
        <f t="shared" si="114"/>
        <v>0</v>
      </c>
      <c r="T73" s="19">
        <f t="shared" si="115"/>
        <v>0</v>
      </c>
      <c r="U73" s="19">
        <f t="shared" si="116"/>
        <v>25000</v>
      </c>
      <c r="V73" s="20">
        <f>T73-U73</f>
        <v>-25000</v>
      </c>
      <c r="W73" s="17">
        <f>IF(U73=0,100%,V73/U73)</f>
        <v>-1</v>
      </c>
      <c r="X73" s="17"/>
    </row>
    <row r="74" spans="2:24" s="26" customFormat="1" ht="12" customHeight="1">
      <c r="B74" s="22" t="s">
        <v>83</v>
      </c>
      <c r="C74" s="23">
        <f>SUM(C63:C73)</f>
        <v>29374</v>
      </c>
      <c r="D74" s="23">
        <f aca="true" t="shared" si="117" ref="D74:V74">SUM(D63:D73)</f>
        <v>68385</v>
      </c>
      <c r="E74" s="23">
        <f t="shared" si="117"/>
        <v>87568</v>
      </c>
      <c r="F74" s="23">
        <f t="shared" si="117"/>
        <v>19043</v>
      </c>
      <c r="G74" s="23">
        <f t="shared" si="117"/>
        <v>0</v>
      </c>
      <c r="H74" s="23">
        <f t="shared" si="117"/>
        <v>29046</v>
      </c>
      <c r="I74" s="23">
        <f t="shared" si="117"/>
        <v>15153</v>
      </c>
      <c r="J74" s="23">
        <f t="shared" si="117"/>
        <v>133898</v>
      </c>
      <c r="K74" s="23">
        <f t="shared" si="117"/>
        <v>106815</v>
      </c>
      <c r="L74" s="23">
        <f t="shared" si="117"/>
        <v>105157</v>
      </c>
      <c r="M74" s="23">
        <f t="shared" si="117"/>
        <v>58211</v>
      </c>
      <c r="N74" s="23">
        <f t="shared" si="117"/>
        <v>463108</v>
      </c>
      <c r="O74" s="23">
        <f t="shared" si="117"/>
        <v>167500</v>
      </c>
      <c r="P74" s="23">
        <f t="shared" si="117"/>
        <v>96315</v>
      </c>
      <c r="Q74" s="23">
        <f t="shared" si="117"/>
        <v>45860</v>
      </c>
      <c r="R74" s="23">
        <f t="shared" si="117"/>
        <v>17812</v>
      </c>
      <c r="S74" s="23">
        <f t="shared" si="117"/>
        <v>2393962</v>
      </c>
      <c r="T74" s="23">
        <f t="shared" si="117"/>
        <v>3837207</v>
      </c>
      <c r="U74" s="23">
        <f>SUM(U63:U73)</f>
        <v>4001997</v>
      </c>
      <c r="V74" s="27">
        <f t="shared" si="117"/>
        <v>-164790</v>
      </c>
      <c r="W74" s="24">
        <f>IF(U74=0,100%,V74/U74)</f>
        <v>-0.04117694241150106</v>
      </c>
      <c r="X74" s="24"/>
    </row>
    <row r="75" spans="2:24" ht="3.75" customHeight="1" thickBot="1"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31"/>
      <c r="R75" s="31"/>
      <c r="S75" s="31"/>
      <c r="T75" s="31"/>
      <c r="U75" s="31"/>
      <c r="V75" s="31"/>
      <c r="W75" s="32"/>
      <c r="X75" s="32"/>
    </row>
    <row r="76" spans="2:24" ht="15" customHeight="1" thickBot="1">
      <c r="B76" s="33" t="s">
        <v>84</v>
      </c>
      <c r="C76" s="34">
        <f>C24+C34+C47+C55+C62+C74</f>
        <v>1400969</v>
      </c>
      <c r="D76" s="34">
        <f aca="true" t="shared" si="118" ref="D76:S76">D24+D34+D47+D55+D62+D74</f>
        <v>756085</v>
      </c>
      <c r="E76" s="34">
        <f t="shared" si="118"/>
        <v>184275</v>
      </c>
      <c r="F76" s="34">
        <f t="shared" si="118"/>
        <v>2655487</v>
      </c>
      <c r="G76" s="34">
        <f t="shared" si="118"/>
        <v>0</v>
      </c>
      <c r="H76" s="34">
        <f t="shared" si="118"/>
        <v>1630670</v>
      </c>
      <c r="I76" s="34">
        <f t="shared" si="118"/>
        <v>1197807</v>
      </c>
      <c r="J76" s="34">
        <f t="shared" si="118"/>
        <v>3139770</v>
      </c>
      <c r="K76" s="34">
        <f t="shared" si="118"/>
        <v>1892203</v>
      </c>
      <c r="L76" s="34">
        <f t="shared" si="118"/>
        <v>6973028</v>
      </c>
      <c r="M76" s="34">
        <f t="shared" si="118"/>
        <v>12468195</v>
      </c>
      <c r="N76" s="34">
        <f t="shared" si="118"/>
        <v>76220075</v>
      </c>
      <c r="O76" s="34">
        <f t="shared" si="118"/>
        <v>28625877</v>
      </c>
      <c r="P76" s="34">
        <f t="shared" si="118"/>
        <v>33755172</v>
      </c>
      <c r="Q76" s="34">
        <f t="shared" si="118"/>
        <v>957071</v>
      </c>
      <c r="R76" s="34">
        <f t="shared" si="118"/>
        <v>2686502</v>
      </c>
      <c r="S76" s="34">
        <f t="shared" si="118"/>
        <v>18236814</v>
      </c>
      <c r="T76" s="34">
        <f>T24+T34+T47+T55+T62+T74</f>
        <v>192780000</v>
      </c>
      <c r="U76" s="34">
        <f>U24+U34+U47+U55+U62+U74+1</f>
        <v>185750000</v>
      </c>
      <c r="V76" s="34">
        <f>V24+V34+V47+V55+V62+V74-1</f>
        <v>7030000</v>
      </c>
      <c r="W76" s="35">
        <f>IF(U76=0,100%,V76/U76)</f>
        <v>0.037846567967698516</v>
      </c>
      <c r="X76" s="35"/>
    </row>
    <row r="77" spans="2:15" s="38" customFormat="1" ht="3" customHeight="1" thickTop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2:20" s="38" customFormat="1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1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40"/>
    </row>
    <row r="80" ht="15">
      <c r="B80" s="41"/>
    </row>
    <row r="81" spans="2:23" s="94" customFormat="1" ht="28.5" hidden="1">
      <c r="B81" s="92" t="s">
        <v>0</v>
      </c>
      <c r="C81" s="93" t="s">
        <v>1</v>
      </c>
      <c r="D81" s="93" t="s">
        <v>2</v>
      </c>
      <c r="E81" s="93" t="s">
        <v>3</v>
      </c>
      <c r="F81" s="93" t="s">
        <v>4</v>
      </c>
      <c r="G81" s="93" t="s">
        <v>5</v>
      </c>
      <c r="H81" s="93" t="s">
        <v>6</v>
      </c>
      <c r="I81" s="93" t="s">
        <v>7</v>
      </c>
      <c r="J81" s="93" t="s">
        <v>8</v>
      </c>
      <c r="K81" s="93" t="s">
        <v>9</v>
      </c>
      <c r="L81" s="93" t="s">
        <v>10</v>
      </c>
      <c r="M81" s="93" t="s">
        <v>11</v>
      </c>
      <c r="N81" s="93" t="s">
        <v>12</v>
      </c>
      <c r="O81" s="93" t="s">
        <v>13</v>
      </c>
      <c r="P81" s="93" t="s">
        <v>14</v>
      </c>
      <c r="Q81" s="93" t="s">
        <v>15</v>
      </c>
      <c r="R81" s="93" t="s">
        <v>16</v>
      </c>
      <c r="S81" s="93" t="s">
        <v>17</v>
      </c>
      <c r="T81" s="43" t="s">
        <v>18</v>
      </c>
      <c r="U81" s="43" t="s">
        <v>19</v>
      </c>
      <c r="V81" s="44" t="s">
        <v>20</v>
      </c>
      <c r="W81" s="44" t="s">
        <v>21</v>
      </c>
    </row>
    <row r="82" spans="2:23" ht="15.75" hidden="1" thickBot="1">
      <c r="B82" s="4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5" hidden="1">
      <c r="B83" s="46" t="s">
        <v>22</v>
      </c>
      <c r="C83" s="15">
        <v>1203602</v>
      </c>
      <c r="D83" s="15">
        <v>353872</v>
      </c>
      <c r="E83" s="15">
        <v>85832</v>
      </c>
      <c r="F83" s="15">
        <v>828598</v>
      </c>
      <c r="G83" s="15">
        <v>0</v>
      </c>
      <c r="H83" s="15">
        <v>904010</v>
      </c>
      <c r="I83" s="15">
        <v>681496</v>
      </c>
      <c r="J83" s="15">
        <v>686610</v>
      </c>
      <c r="K83" s="15">
        <v>1461106</v>
      </c>
      <c r="L83" s="15">
        <v>1332997</v>
      </c>
      <c r="M83" s="15">
        <v>0</v>
      </c>
      <c r="N83" s="15">
        <v>10738259</v>
      </c>
      <c r="O83" s="15">
        <v>6851702</v>
      </c>
      <c r="P83" s="15">
        <v>9048031</v>
      </c>
      <c r="Q83" s="15">
        <v>808612</v>
      </c>
      <c r="R83" s="15">
        <v>2336749</v>
      </c>
      <c r="S83" s="15">
        <v>5702934</v>
      </c>
      <c r="T83" s="15">
        <v>43024410</v>
      </c>
      <c r="U83" s="15">
        <v>41566549</v>
      </c>
      <c r="V83" s="15">
        <v>1457861</v>
      </c>
      <c r="W83" s="47">
        <v>3.5</v>
      </c>
    </row>
    <row r="84" spans="2:23" ht="15" hidden="1">
      <c r="B84" s="46" t="s">
        <v>24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47270</v>
      </c>
      <c r="I84" s="19">
        <v>0</v>
      </c>
      <c r="J84" s="19">
        <v>128045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175315</v>
      </c>
      <c r="U84" s="19">
        <v>174760</v>
      </c>
      <c r="V84" s="19">
        <v>555</v>
      </c>
      <c r="W84" s="47">
        <v>0.3</v>
      </c>
    </row>
    <row r="85" spans="2:23" ht="15" hidden="1">
      <c r="B85" s="46" t="s">
        <v>25</v>
      </c>
      <c r="C85" s="19">
        <v>456</v>
      </c>
      <c r="D85" s="19">
        <v>0</v>
      </c>
      <c r="E85" s="19">
        <v>0</v>
      </c>
      <c r="F85" s="19">
        <v>0</v>
      </c>
      <c r="G85" s="19">
        <v>0</v>
      </c>
      <c r="H85" s="19">
        <v>2396</v>
      </c>
      <c r="I85" s="19">
        <v>0</v>
      </c>
      <c r="J85" s="19">
        <v>0</v>
      </c>
      <c r="K85" s="19">
        <v>1947</v>
      </c>
      <c r="L85" s="19">
        <v>1554</v>
      </c>
      <c r="M85" s="19">
        <v>0</v>
      </c>
      <c r="N85" s="19">
        <v>366132</v>
      </c>
      <c r="O85" s="19">
        <v>85663</v>
      </c>
      <c r="P85" s="19">
        <v>340000</v>
      </c>
      <c r="Q85" s="19">
        <v>0</v>
      </c>
      <c r="R85" s="19">
        <v>0</v>
      </c>
      <c r="S85" s="19">
        <v>23028</v>
      </c>
      <c r="T85" s="19">
        <v>821176</v>
      </c>
      <c r="U85" s="19">
        <v>821176</v>
      </c>
      <c r="V85" s="19">
        <v>0</v>
      </c>
      <c r="W85" s="47">
        <v>0</v>
      </c>
    </row>
    <row r="86" spans="2:23" ht="15" hidden="1">
      <c r="B86" s="46" t="s">
        <v>26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8754657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8754657</v>
      </c>
      <c r="U86" s="19">
        <v>9161931</v>
      </c>
      <c r="V86" s="19">
        <v>-407274</v>
      </c>
      <c r="W86" s="47">
        <v>-4.4</v>
      </c>
    </row>
    <row r="87" spans="2:23" ht="15" hidden="1">
      <c r="B87" s="46" t="s">
        <v>27</v>
      </c>
      <c r="C87" s="19">
        <v>151085</v>
      </c>
      <c r="D87" s="19">
        <v>35754</v>
      </c>
      <c r="E87" s="19">
        <v>10875</v>
      </c>
      <c r="F87" s="19">
        <v>106230</v>
      </c>
      <c r="G87" s="19">
        <v>0</v>
      </c>
      <c r="H87" s="19">
        <v>114688</v>
      </c>
      <c r="I87" s="19">
        <v>85868</v>
      </c>
      <c r="J87" s="19">
        <v>84889</v>
      </c>
      <c r="K87" s="19">
        <v>185140</v>
      </c>
      <c r="L87" s="19">
        <v>167663</v>
      </c>
      <c r="M87" s="19">
        <v>0</v>
      </c>
      <c r="N87" s="19">
        <v>1353062</v>
      </c>
      <c r="O87" s="19">
        <v>872943</v>
      </c>
      <c r="P87" s="19">
        <v>1149679</v>
      </c>
      <c r="Q87" s="19">
        <v>99546</v>
      </c>
      <c r="R87" s="19">
        <v>291978</v>
      </c>
      <c r="S87" s="19">
        <v>725806</v>
      </c>
      <c r="T87" s="19">
        <v>5435206</v>
      </c>
      <c r="U87" s="19">
        <v>5529824</v>
      </c>
      <c r="V87" s="19">
        <v>-94619</v>
      </c>
      <c r="W87" s="47">
        <v>-1.7</v>
      </c>
    </row>
    <row r="88" spans="2:23" ht="15" hidden="1">
      <c r="B88" s="46" t="s">
        <v>28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5994</v>
      </c>
      <c r="I88" s="19">
        <v>0</v>
      </c>
      <c r="J88" s="19">
        <v>16236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22230</v>
      </c>
      <c r="U88" s="19">
        <v>23085</v>
      </c>
      <c r="V88" s="19">
        <v>-855</v>
      </c>
      <c r="W88" s="47">
        <v>-3.7</v>
      </c>
    </row>
    <row r="89" spans="2:23" ht="15" hidden="1">
      <c r="B89" s="46" t="s">
        <v>30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31575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31575</v>
      </c>
      <c r="U89" s="19">
        <v>31575</v>
      </c>
      <c r="V89" s="19">
        <v>0</v>
      </c>
      <c r="W89" s="47">
        <v>0</v>
      </c>
    </row>
    <row r="90" spans="2:23" ht="15" hidden="1">
      <c r="B90" s="46" t="s">
        <v>31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227386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227386</v>
      </c>
      <c r="U90" s="19">
        <v>227386</v>
      </c>
      <c r="V90" s="19">
        <v>0</v>
      </c>
      <c r="W90" s="47">
        <v>0</v>
      </c>
    </row>
    <row r="91" spans="2:23" ht="15" hidden="1">
      <c r="B91" s="46" t="s">
        <v>32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3100000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3100000</v>
      </c>
      <c r="U91" s="19">
        <v>0</v>
      </c>
      <c r="V91" s="19">
        <v>3100000</v>
      </c>
      <c r="W91" s="47">
        <v>100</v>
      </c>
    </row>
    <row r="92" spans="2:23" ht="15" hidden="1">
      <c r="B92" s="46" t="s">
        <v>33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327941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327941</v>
      </c>
      <c r="U92" s="19">
        <v>382573</v>
      </c>
      <c r="V92" s="19">
        <v>-54632</v>
      </c>
      <c r="W92" s="47">
        <v>-14.3</v>
      </c>
    </row>
    <row r="93" spans="2:23" ht="15" hidden="1">
      <c r="B93" s="46" t="s">
        <v>72</v>
      </c>
      <c r="C93" s="19">
        <v>2308</v>
      </c>
      <c r="D93" s="19">
        <v>2382</v>
      </c>
      <c r="E93" s="19">
        <v>59697</v>
      </c>
      <c r="F93" s="19">
        <v>0</v>
      </c>
      <c r="G93" s="19">
        <v>0</v>
      </c>
      <c r="H93" s="19">
        <v>8418</v>
      </c>
      <c r="I93" s="19">
        <v>646</v>
      </c>
      <c r="J93" s="19">
        <v>600</v>
      </c>
      <c r="K93" s="19">
        <v>1571</v>
      </c>
      <c r="L93" s="19">
        <v>12941</v>
      </c>
      <c r="M93" s="19">
        <v>0</v>
      </c>
      <c r="N93" s="19">
        <v>30525</v>
      </c>
      <c r="O93" s="19">
        <v>0</v>
      </c>
      <c r="P93" s="19">
        <v>6100</v>
      </c>
      <c r="Q93" s="19">
        <v>2013</v>
      </c>
      <c r="R93" s="19">
        <v>0</v>
      </c>
      <c r="S93" s="19">
        <v>0</v>
      </c>
      <c r="T93" s="19">
        <v>127201</v>
      </c>
      <c r="U93" s="19">
        <v>126232</v>
      </c>
      <c r="V93" s="19">
        <v>969</v>
      </c>
      <c r="W93" s="47">
        <v>0.8</v>
      </c>
    </row>
    <row r="94" spans="2:23" ht="15" hidden="1">
      <c r="B94" s="46" t="s">
        <v>35</v>
      </c>
      <c r="C94" s="19">
        <v>1023</v>
      </c>
      <c r="D94" s="19">
        <v>273641</v>
      </c>
      <c r="E94" s="19">
        <v>0</v>
      </c>
      <c r="F94" s="19">
        <v>659474</v>
      </c>
      <c r="G94" s="19">
        <v>0</v>
      </c>
      <c r="H94" s="19">
        <v>162551</v>
      </c>
      <c r="I94" s="19">
        <v>197763</v>
      </c>
      <c r="J94" s="19">
        <v>0</v>
      </c>
      <c r="K94" s="19">
        <v>2030</v>
      </c>
      <c r="L94" s="19">
        <v>1807752</v>
      </c>
      <c r="M94" s="19">
        <v>0</v>
      </c>
      <c r="N94" s="19">
        <v>9675338</v>
      </c>
      <c r="O94" s="19">
        <v>0</v>
      </c>
      <c r="P94" s="19">
        <v>300000</v>
      </c>
      <c r="Q94" s="19">
        <v>0</v>
      </c>
      <c r="R94" s="19">
        <v>33080</v>
      </c>
      <c r="S94" s="19">
        <v>82852</v>
      </c>
      <c r="T94" s="19">
        <v>13195504</v>
      </c>
      <c r="U94" s="19">
        <v>14055481</v>
      </c>
      <c r="V94" s="19">
        <v>-859977</v>
      </c>
      <c r="W94" s="47">
        <v>-6.1</v>
      </c>
    </row>
    <row r="95" spans="2:23" ht="15" hidden="1">
      <c r="B95" s="46" t="s">
        <v>36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2086669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2086669</v>
      </c>
      <c r="U95" s="19">
        <v>2086669</v>
      </c>
      <c r="V95" s="19">
        <v>0</v>
      </c>
      <c r="W95" s="47">
        <v>0</v>
      </c>
    </row>
    <row r="96" spans="2:23" ht="15" hidden="1">
      <c r="B96" s="46" t="s">
        <v>37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206029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206029</v>
      </c>
      <c r="U96" s="19">
        <v>198029</v>
      </c>
      <c r="V96" s="19">
        <v>8000</v>
      </c>
      <c r="W96" s="47">
        <v>4</v>
      </c>
    </row>
    <row r="97" spans="2:23" ht="15" hidden="1">
      <c r="B97" s="46" t="s">
        <v>38</v>
      </c>
      <c r="C97" s="19">
        <v>0</v>
      </c>
      <c r="D97" s="19">
        <v>0</v>
      </c>
      <c r="E97" s="19">
        <v>0</v>
      </c>
      <c r="F97" s="19">
        <v>345899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345899</v>
      </c>
      <c r="U97" s="19">
        <v>345899</v>
      </c>
      <c r="V97" s="19">
        <v>0</v>
      </c>
      <c r="W97" s="47">
        <v>0</v>
      </c>
    </row>
    <row r="98" spans="2:23" ht="15" hidden="1">
      <c r="B98" s="46" t="s">
        <v>82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25000</v>
      </c>
      <c r="V98" s="19">
        <v>-25000</v>
      </c>
      <c r="W98" s="47">
        <v>-100</v>
      </c>
    </row>
    <row r="99" spans="2:23" ht="15" hidden="1">
      <c r="B99" s="46" t="s">
        <v>39</v>
      </c>
      <c r="C99" s="19">
        <v>0</v>
      </c>
      <c r="D99" s="19">
        <v>0</v>
      </c>
      <c r="E99" s="19">
        <v>0</v>
      </c>
      <c r="F99" s="19">
        <v>688199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688199</v>
      </c>
      <c r="U99" s="19">
        <v>1188199</v>
      </c>
      <c r="V99" s="19">
        <v>-500000</v>
      </c>
      <c r="W99" s="47">
        <v>-42.1</v>
      </c>
    </row>
    <row r="100" spans="2:23" ht="15" hidden="1">
      <c r="B100" s="46" t="s">
        <v>40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8985742</v>
      </c>
      <c r="T100" s="19">
        <v>8985742</v>
      </c>
      <c r="U100" s="19">
        <v>8985742</v>
      </c>
      <c r="V100" s="19">
        <v>0</v>
      </c>
      <c r="W100" s="47">
        <v>0</v>
      </c>
    </row>
    <row r="101" spans="2:23" ht="15" hidden="1">
      <c r="B101" s="46" t="s">
        <v>41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59627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59627</v>
      </c>
      <c r="U101" s="19">
        <v>39827</v>
      </c>
      <c r="V101" s="19">
        <v>19800</v>
      </c>
      <c r="W101" s="47">
        <v>49.7</v>
      </c>
    </row>
    <row r="102" spans="2:23" ht="15" hidden="1">
      <c r="B102" s="46" t="s">
        <v>45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8015547</v>
      </c>
      <c r="P102" s="19">
        <v>13688299</v>
      </c>
      <c r="Q102" s="19">
        <v>0</v>
      </c>
      <c r="R102" s="19">
        <v>0</v>
      </c>
      <c r="S102" s="19">
        <v>55136</v>
      </c>
      <c r="T102" s="19">
        <v>21758982</v>
      </c>
      <c r="U102" s="19">
        <v>20430896</v>
      </c>
      <c r="V102" s="19">
        <v>1328086</v>
      </c>
      <c r="W102" s="47">
        <v>6.5</v>
      </c>
    </row>
    <row r="103" spans="2:23" ht="15" hidden="1">
      <c r="B103" s="46" t="s">
        <v>46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61500</v>
      </c>
      <c r="Q103" s="19">
        <v>0</v>
      </c>
      <c r="R103" s="19">
        <v>0</v>
      </c>
      <c r="S103" s="19">
        <v>0</v>
      </c>
      <c r="T103" s="19">
        <v>61500</v>
      </c>
      <c r="U103" s="19">
        <v>127820</v>
      </c>
      <c r="V103" s="19">
        <v>-66320</v>
      </c>
      <c r="W103" s="47">
        <v>-51.9</v>
      </c>
    </row>
    <row r="104" spans="2:23" ht="15" hidden="1">
      <c r="B104" s="46" t="s">
        <v>47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163595</v>
      </c>
      <c r="O104" s="19">
        <v>0</v>
      </c>
      <c r="P104" s="19">
        <v>259556</v>
      </c>
      <c r="Q104" s="19">
        <v>0</v>
      </c>
      <c r="R104" s="19">
        <v>0</v>
      </c>
      <c r="S104" s="19">
        <v>0</v>
      </c>
      <c r="T104" s="19">
        <v>423151</v>
      </c>
      <c r="U104" s="19">
        <v>509151</v>
      </c>
      <c r="V104" s="19">
        <v>-86000</v>
      </c>
      <c r="W104" s="47">
        <v>-16.9</v>
      </c>
    </row>
    <row r="105" spans="2:23" ht="15" hidden="1">
      <c r="B105" s="46" t="s">
        <v>48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55822</v>
      </c>
      <c r="O105" s="19">
        <v>0</v>
      </c>
      <c r="P105" s="19">
        <v>90350</v>
      </c>
      <c r="Q105" s="19">
        <v>0</v>
      </c>
      <c r="R105" s="19">
        <v>0</v>
      </c>
      <c r="S105" s="19">
        <v>0</v>
      </c>
      <c r="T105" s="19">
        <v>146172</v>
      </c>
      <c r="U105" s="19">
        <v>280650</v>
      </c>
      <c r="V105" s="19">
        <v>-134478</v>
      </c>
      <c r="W105" s="47">
        <v>-47.9</v>
      </c>
    </row>
    <row r="106" spans="2:23" ht="15" hidden="1">
      <c r="B106" s="46" t="s">
        <v>73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2349211</v>
      </c>
      <c r="T106" s="19">
        <v>2349211</v>
      </c>
      <c r="U106" s="19">
        <v>1774172</v>
      </c>
      <c r="V106" s="19">
        <v>575039</v>
      </c>
      <c r="W106" s="47">
        <v>32.4</v>
      </c>
    </row>
    <row r="107" spans="2:23" ht="15" hidden="1">
      <c r="B107" s="46" t="s">
        <v>58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100</v>
      </c>
      <c r="J107" s="19">
        <v>0</v>
      </c>
      <c r="K107" s="19">
        <v>0</v>
      </c>
      <c r="L107" s="19">
        <v>0</v>
      </c>
      <c r="M107" s="19">
        <v>0</v>
      </c>
      <c r="N107" s="19">
        <v>10668192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10668292</v>
      </c>
      <c r="U107" s="19">
        <v>10380954</v>
      </c>
      <c r="V107" s="19">
        <v>287338</v>
      </c>
      <c r="W107" s="47">
        <v>2.8</v>
      </c>
    </row>
    <row r="108" spans="2:23" ht="15" hidden="1">
      <c r="B108" s="46" t="s">
        <v>59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1364758</v>
      </c>
      <c r="P108" s="19">
        <v>0</v>
      </c>
      <c r="Q108" s="19">
        <v>0</v>
      </c>
      <c r="R108" s="19">
        <v>0</v>
      </c>
      <c r="S108" s="19">
        <v>0</v>
      </c>
      <c r="T108" s="19">
        <v>1364758</v>
      </c>
      <c r="U108" s="19">
        <v>1364758</v>
      </c>
      <c r="V108" s="19">
        <v>0</v>
      </c>
      <c r="W108" s="47">
        <v>0</v>
      </c>
    </row>
    <row r="109" spans="2:23" ht="15" hidden="1">
      <c r="B109" s="46" t="s">
        <v>65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29958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29958</v>
      </c>
      <c r="U109" s="19">
        <v>22416</v>
      </c>
      <c r="V109" s="19">
        <v>7542</v>
      </c>
      <c r="W109" s="47">
        <v>33.6</v>
      </c>
    </row>
    <row r="110" spans="2:23" ht="15" hidden="1">
      <c r="B110" s="46" t="s">
        <v>42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157820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157820</v>
      </c>
      <c r="U110" s="19">
        <v>157820</v>
      </c>
      <c r="V110" s="19">
        <v>0</v>
      </c>
      <c r="W110" s="47">
        <v>0</v>
      </c>
    </row>
    <row r="111" spans="2:23" ht="15" hidden="1">
      <c r="B111" s="46" t="s">
        <v>66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1426601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1426601</v>
      </c>
      <c r="U111" s="19">
        <v>1426601</v>
      </c>
      <c r="V111" s="19">
        <v>0</v>
      </c>
      <c r="W111" s="47">
        <v>0</v>
      </c>
    </row>
    <row r="112" spans="2:23" ht="15" hidden="1">
      <c r="B112" s="46" t="s">
        <v>67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1019697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1019697</v>
      </c>
      <c r="U112" s="19">
        <v>1019697</v>
      </c>
      <c r="V112" s="19">
        <v>0</v>
      </c>
      <c r="W112" s="47">
        <v>0</v>
      </c>
    </row>
    <row r="113" spans="2:23" ht="15" hidden="1">
      <c r="B113" s="46" t="s">
        <v>68</v>
      </c>
      <c r="C113" s="19">
        <v>280</v>
      </c>
      <c r="D113" s="19">
        <v>15246</v>
      </c>
      <c r="E113" s="19">
        <v>0</v>
      </c>
      <c r="F113" s="19">
        <v>0</v>
      </c>
      <c r="G113" s="19">
        <v>0</v>
      </c>
      <c r="H113" s="19">
        <v>81057</v>
      </c>
      <c r="I113" s="19">
        <v>0</v>
      </c>
      <c r="J113" s="19">
        <v>0</v>
      </c>
      <c r="K113" s="19">
        <v>69488</v>
      </c>
      <c r="L113" s="19">
        <v>1003733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7636</v>
      </c>
      <c r="T113" s="19">
        <v>1177440</v>
      </c>
      <c r="U113" s="19">
        <v>1172940</v>
      </c>
      <c r="V113" s="19">
        <v>4500</v>
      </c>
      <c r="W113" s="47">
        <v>0.4</v>
      </c>
    </row>
    <row r="114" spans="2:23" ht="15" hidden="1">
      <c r="B114" s="46" t="s">
        <v>74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1752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1752</v>
      </c>
      <c r="U114" s="19">
        <v>1752</v>
      </c>
      <c r="V114" s="19">
        <v>0</v>
      </c>
      <c r="W114" s="47">
        <v>0</v>
      </c>
    </row>
    <row r="115" spans="2:23" ht="15" hidden="1">
      <c r="B115" s="46" t="s">
        <v>69</v>
      </c>
      <c r="C115" s="19">
        <v>4000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1122</v>
      </c>
      <c r="L115" s="19">
        <v>8177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13299</v>
      </c>
      <c r="U115" s="19">
        <v>9299</v>
      </c>
      <c r="V115" s="19">
        <v>4000</v>
      </c>
      <c r="W115" s="47">
        <v>43</v>
      </c>
    </row>
    <row r="116" spans="2:23" ht="15" hidden="1">
      <c r="B116" s="46" t="s">
        <v>70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91960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91960</v>
      </c>
      <c r="U116" s="19">
        <v>91960</v>
      </c>
      <c r="V116" s="19">
        <v>0</v>
      </c>
      <c r="W116" s="47">
        <v>0</v>
      </c>
    </row>
    <row r="117" spans="2:23" ht="15" hidden="1">
      <c r="B117" s="46" t="s">
        <v>75</v>
      </c>
      <c r="C117" s="19">
        <v>14776</v>
      </c>
      <c r="D117" s="19">
        <v>14760</v>
      </c>
      <c r="E117" s="19">
        <v>15430</v>
      </c>
      <c r="F117" s="19">
        <v>11578</v>
      </c>
      <c r="G117" s="19">
        <v>0</v>
      </c>
      <c r="H117" s="19">
        <v>6371</v>
      </c>
      <c r="I117" s="19">
        <v>5000</v>
      </c>
      <c r="J117" s="19">
        <v>12869</v>
      </c>
      <c r="K117" s="19">
        <v>20670</v>
      </c>
      <c r="L117" s="19">
        <v>55010</v>
      </c>
      <c r="M117" s="19">
        <v>0</v>
      </c>
      <c r="N117" s="19">
        <v>20005</v>
      </c>
      <c r="O117" s="19">
        <v>47400</v>
      </c>
      <c r="P117" s="19">
        <v>43100</v>
      </c>
      <c r="Q117" s="19">
        <v>31579</v>
      </c>
      <c r="R117" s="19">
        <v>11711</v>
      </c>
      <c r="S117" s="19">
        <v>18449</v>
      </c>
      <c r="T117" s="19">
        <v>328708</v>
      </c>
      <c r="U117" s="19">
        <v>302403</v>
      </c>
      <c r="V117" s="19">
        <v>26305</v>
      </c>
      <c r="W117" s="47">
        <v>8.7</v>
      </c>
    </row>
    <row r="118" spans="2:23" ht="15" hidden="1">
      <c r="B118" s="46" t="s">
        <v>76</v>
      </c>
      <c r="C118" s="19">
        <v>3418</v>
      </c>
      <c r="D118" s="19">
        <v>50093</v>
      </c>
      <c r="E118" s="19">
        <v>8500</v>
      </c>
      <c r="F118" s="19">
        <v>3661</v>
      </c>
      <c r="G118" s="19">
        <v>0</v>
      </c>
      <c r="H118" s="19">
        <v>8440</v>
      </c>
      <c r="I118" s="19">
        <v>5060</v>
      </c>
      <c r="J118" s="19">
        <v>77763</v>
      </c>
      <c r="K118" s="19">
        <v>76391</v>
      </c>
      <c r="L118" s="19">
        <v>28155</v>
      </c>
      <c r="M118" s="19">
        <v>1120</v>
      </c>
      <c r="N118" s="19">
        <v>29429</v>
      </c>
      <c r="O118" s="19">
        <v>7900</v>
      </c>
      <c r="P118" s="19">
        <v>25615</v>
      </c>
      <c r="Q118" s="19">
        <v>11278</v>
      </c>
      <c r="R118" s="19">
        <v>3855</v>
      </c>
      <c r="S118" s="19">
        <v>5424</v>
      </c>
      <c r="T118" s="19">
        <v>346102</v>
      </c>
      <c r="U118" s="19">
        <v>427665</v>
      </c>
      <c r="V118" s="19">
        <v>-81563</v>
      </c>
      <c r="W118" s="47">
        <v>-19.1</v>
      </c>
    </row>
    <row r="119" spans="2:23" ht="15" hidden="1">
      <c r="B119" s="46" t="s">
        <v>60</v>
      </c>
      <c r="C119" s="19">
        <v>10505</v>
      </c>
      <c r="D119" s="19">
        <v>9187</v>
      </c>
      <c r="E119" s="19">
        <v>0</v>
      </c>
      <c r="F119" s="19">
        <v>8044</v>
      </c>
      <c r="G119" s="19">
        <v>0</v>
      </c>
      <c r="H119" s="19">
        <v>87669</v>
      </c>
      <c r="I119" s="19">
        <v>10597</v>
      </c>
      <c r="J119" s="19">
        <v>3423</v>
      </c>
      <c r="K119" s="19">
        <v>30705</v>
      </c>
      <c r="L119" s="19">
        <v>2960</v>
      </c>
      <c r="M119" s="19">
        <v>0</v>
      </c>
      <c r="N119" s="19">
        <v>67793</v>
      </c>
      <c r="O119" s="19">
        <v>106000</v>
      </c>
      <c r="P119" s="19">
        <v>72350</v>
      </c>
      <c r="Q119" s="19">
        <v>3053</v>
      </c>
      <c r="R119" s="19">
        <v>6283</v>
      </c>
      <c r="S119" s="19">
        <v>33614</v>
      </c>
      <c r="T119" s="19">
        <v>452183</v>
      </c>
      <c r="U119" s="19">
        <v>457028</v>
      </c>
      <c r="V119" s="19">
        <v>-4845</v>
      </c>
      <c r="W119" s="47">
        <v>-1.1</v>
      </c>
    </row>
    <row r="120" spans="2:23" ht="15" hidden="1">
      <c r="B120" s="46" t="s">
        <v>49</v>
      </c>
      <c r="C120" s="19">
        <v>644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801</v>
      </c>
      <c r="J120" s="19">
        <v>0</v>
      </c>
      <c r="K120" s="19">
        <v>3892</v>
      </c>
      <c r="L120" s="19">
        <v>0</v>
      </c>
      <c r="M120" s="19">
        <v>0</v>
      </c>
      <c r="N120" s="19">
        <v>0</v>
      </c>
      <c r="O120" s="19">
        <v>0</v>
      </c>
      <c r="P120" s="19">
        <v>23565</v>
      </c>
      <c r="Q120" s="19">
        <v>0</v>
      </c>
      <c r="R120" s="19">
        <v>600</v>
      </c>
      <c r="S120" s="19">
        <v>0</v>
      </c>
      <c r="T120" s="19">
        <v>29502</v>
      </c>
      <c r="U120" s="19">
        <v>26427</v>
      </c>
      <c r="V120" s="19">
        <v>3075</v>
      </c>
      <c r="W120" s="47">
        <v>11.6</v>
      </c>
    </row>
    <row r="121" spans="2:23" ht="15" hidden="1">
      <c r="B121" s="46" t="s">
        <v>43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6594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12030780</v>
      </c>
      <c r="O121" s="19">
        <v>85390</v>
      </c>
      <c r="P121" s="19">
        <v>145000</v>
      </c>
      <c r="Q121" s="19">
        <v>0</v>
      </c>
      <c r="R121" s="19">
        <v>0</v>
      </c>
      <c r="S121" s="19">
        <v>0</v>
      </c>
      <c r="T121" s="19">
        <v>12267764</v>
      </c>
      <c r="U121" s="19">
        <v>12170374</v>
      </c>
      <c r="V121" s="19">
        <v>97390</v>
      </c>
      <c r="W121" s="47">
        <v>0.8</v>
      </c>
    </row>
    <row r="122" spans="2:23" ht="15" hidden="1">
      <c r="B122" s="46" t="s">
        <v>77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6182</v>
      </c>
      <c r="T122" s="19">
        <v>6182</v>
      </c>
      <c r="U122" s="19">
        <v>6182</v>
      </c>
      <c r="V122" s="19">
        <v>0</v>
      </c>
      <c r="W122" s="47">
        <v>0</v>
      </c>
    </row>
    <row r="123" spans="2:23" ht="15" hidden="1">
      <c r="B123" s="46" t="s">
        <v>78</v>
      </c>
      <c r="C123" s="19">
        <v>8335</v>
      </c>
      <c r="D123" s="19">
        <v>876</v>
      </c>
      <c r="E123" s="19">
        <v>2842</v>
      </c>
      <c r="F123" s="19">
        <v>3169</v>
      </c>
      <c r="G123" s="19">
        <v>0</v>
      </c>
      <c r="H123" s="19">
        <v>5065</v>
      </c>
      <c r="I123" s="19">
        <v>2828</v>
      </c>
      <c r="J123" s="19">
        <v>42129</v>
      </c>
      <c r="K123" s="19">
        <v>8043</v>
      </c>
      <c r="L123" s="19">
        <v>6967</v>
      </c>
      <c r="M123" s="19">
        <v>57091</v>
      </c>
      <c r="N123" s="19">
        <v>180650</v>
      </c>
      <c r="O123" s="19">
        <v>112200</v>
      </c>
      <c r="P123" s="19">
        <v>21100</v>
      </c>
      <c r="Q123" s="19">
        <v>775</v>
      </c>
      <c r="R123" s="19">
        <v>1790</v>
      </c>
      <c r="S123" s="19">
        <v>14525</v>
      </c>
      <c r="T123" s="19">
        <v>468385</v>
      </c>
      <c r="U123" s="19">
        <v>549025</v>
      </c>
      <c r="V123" s="19">
        <v>-80640</v>
      </c>
      <c r="W123" s="47">
        <v>-14.7</v>
      </c>
    </row>
    <row r="124" spans="2:23" ht="15" hidden="1">
      <c r="B124" s="46" t="s">
        <v>50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2798</v>
      </c>
      <c r="M124" s="19">
        <v>0</v>
      </c>
      <c r="N124" s="19">
        <v>0</v>
      </c>
      <c r="O124" s="19">
        <v>81500</v>
      </c>
      <c r="P124" s="19">
        <v>2960062</v>
      </c>
      <c r="Q124" s="19">
        <v>0</v>
      </c>
      <c r="R124" s="19">
        <v>0</v>
      </c>
      <c r="S124" s="19">
        <v>129417</v>
      </c>
      <c r="T124" s="19">
        <v>3173777</v>
      </c>
      <c r="U124" s="19">
        <v>4118997</v>
      </c>
      <c r="V124" s="19">
        <v>-945220</v>
      </c>
      <c r="W124" s="47">
        <v>-22.9</v>
      </c>
    </row>
    <row r="125" spans="2:23" ht="15" hidden="1">
      <c r="B125" s="46" t="s">
        <v>61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1059425</v>
      </c>
      <c r="Q125" s="19">
        <v>0</v>
      </c>
      <c r="R125" s="19">
        <v>0</v>
      </c>
      <c r="S125" s="19">
        <v>0</v>
      </c>
      <c r="T125" s="19">
        <v>1059425</v>
      </c>
      <c r="U125" s="19">
        <v>1057250</v>
      </c>
      <c r="V125" s="19">
        <v>2175</v>
      </c>
      <c r="W125" s="47">
        <v>0.2</v>
      </c>
    </row>
    <row r="126" spans="2:23" ht="15" hidden="1">
      <c r="B126" s="46" t="s">
        <v>79</v>
      </c>
      <c r="C126" s="19">
        <v>537</v>
      </c>
      <c r="D126" s="19">
        <v>274</v>
      </c>
      <c r="E126" s="19">
        <v>1099</v>
      </c>
      <c r="F126" s="19">
        <v>635</v>
      </c>
      <c r="G126" s="19">
        <v>0</v>
      </c>
      <c r="H126" s="19">
        <v>752</v>
      </c>
      <c r="I126" s="19">
        <v>19</v>
      </c>
      <c r="J126" s="19">
        <v>537</v>
      </c>
      <c r="K126" s="19">
        <v>140</v>
      </c>
      <c r="L126" s="19">
        <v>332</v>
      </c>
      <c r="M126" s="19">
        <v>0</v>
      </c>
      <c r="N126" s="19">
        <v>1144</v>
      </c>
      <c r="O126" s="19">
        <v>0</v>
      </c>
      <c r="P126" s="19">
        <v>400</v>
      </c>
      <c r="Q126" s="19">
        <v>215</v>
      </c>
      <c r="R126" s="19">
        <v>456</v>
      </c>
      <c r="S126" s="19">
        <v>171</v>
      </c>
      <c r="T126" s="19">
        <v>6711</v>
      </c>
      <c r="U126" s="19">
        <v>6611</v>
      </c>
      <c r="V126" s="19">
        <v>100</v>
      </c>
      <c r="W126" s="47">
        <v>1.5</v>
      </c>
    </row>
    <row r="127" spans="2:23" ht="15" hidden="1">
      <c r="B127" s="46" t="s">
        <v>51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1023309</v>
      </c>
      <c r="Q127" s="19">
        <v>0</v>
      </c>
      <c r="R127" s="19">
        <v>0</v>
      </c>
      <c r="S127" s="19">
        <v>0</v>
      </c>
      <c r="T127" s="19">
        <v>1023309</v>
      </c>
      <c r="U127" s="19">
        <v>992000</v>
      </c>
      <c r="V127" s="19">
        <v>31309</v>
      </c>
      <c r="W127" s="47">
        <v>3.2</v>
      </c>
    </row>
    <row r="128" spans="2:23" ht="15" hidden="1">
      <c r="B128" s="46" t="s">
        <v>52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722590</v>
      </c>
      <c r="Q128" s="19">
        <v>0</v>
      </c>
      <c r="R128" s="19">
        <v>0</v>
      </c>
      <c r="S128" s="19">
        <v>0</v>
      </c>
      <c r="T128" s="19">
        <v>722590</v>
      </c>
      <c r="U128" s="19">
        <v>722590</v>
      </c>
      <c r="V128" s="19">
        <v>0</v>
      </c>
      <c r="W128" s="47">
        <v>0</v>
      </c>
    </row>
    <row r="129" spans="2:23" ht="15" hidden="1">
      <c r="B129" s="46" t="s">
        <v>53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70600</v>
      </c>
      <c r="Q129" s="19">
        <v>0</v>
      </c>
      <c r="R129" s="19">
        <v>0</v>
      </c>
      <c r="S129" s="19">
        <v>0</v>
      </c>
      <c r="T129" s="19">
        <v>70600</v>
      </c>
      <c r="U129" s="19">
        <v>70600</v>
      </c>
      <c r="V129" s="19">
        <v>0</v>
      </c>
      <c r="W129" s="47">
        <v>0</v>
      </c>
    </row>
    <row r="130" spans="2:23" ht="15" hidden="1">
      <c r="B130" s="46" t="s">
        <v>54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2164256</v>
      </c>
      <c r="Q130" s="19">
        <v>0</v>
      </c>
      <c r="R130" s="19">
        <v>0</v>
      </c>
      <c r="S130" s="19">
        <v>0</v>
      </c>
      <c r="T130" s="19">
        <v>2164256</v>
      </c>
      <c r="U130" s="19">
        <v>2464256</v>
      </c>
      <c r="V130" s="19">
        <v>-300000</v>
      </c>
      <c r="W130" s="47">
        <v>-12.2</v>
      </c>
    </row>
    <row r="131" spans="2:23" ht="15" hidden="1">
      <c r="B131" s="46" t="s">
        <v>80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1600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1600</v>
      </c>
      <c r="U131" s="19">
        <v>1600</v>
      </c>
      <c r="V131" s="19">
        <v>0</v>
      </c>
      <c r="W131" s="47">
        <v>0</v>
      </c>
    </row>
    <row r="132" spans="2:23" ht="15" hidden="1">
      <c r="B132" s="46" t="s">
        <v>62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10567552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10567552</v>
      </c>
      <c r="U132" s="19">
        <v>10261333</v>
      </c>
      <c r="V132" s="19">
        <v>306219</v>
      </c>
      <c r="W132" s="47">
        <v>3</v>
      </c>
    </row>
    <row r="133" spans="2:23" ht="15" hidden="1">
      <c r="B133" s="46" t="s">
        <v>56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290685</v>
      </c>
      <c r="Q133" s="19">
        <v>0</v>
      </c>
      <c r="R133" s="19">
        <v>0</v>
      </c>
      <c r="S133" s="19">
        <v>0</v>
      </c>
      <c r="T133" s="19">
        <v>290685</v>
      </c>
      <c r="U133" s="19">
        <v>151525</v>
      </c>
      <c r="V133" s="19">
        <v>139160</v>
      </c>
      <c r="W133" s="47">
        <v>91.8</v>
      </c>
    </row>
    <row r="134" spans="2:23" ht="15" hidden="1">
      <c r="B134" s="46" t="s">
        <v>63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10994874</v>
      </c>
      <c r="P134" s="19">
        <v>0</v>
      </c>
      <c r="Q134" s="19">
        <v>0</v>
      </c>
      <c r="R134" s="19">
        <v>0</v>
      </c>
      <c r="S134" s="19">
        <v>0</v>
      </c>
      <c r="T134" s="19">
        <v>10994874</v>
      </c>
      <c r="U134" s="19">
        <v>7195086</v>
      </c>
      <c r="V134" s="19">
        <v>3799788</v>
      </c>
      <c r="W134" s="47">
        <v>52.8</v>
      </c>
    </row>
    <row r="135" spans="2:23" ht="15" hidden="1">
      <c r="B135" s="46" t="s">
        <v>57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1979</v>
      </c>
      <c r="M135" s="19">
        <v>0</v>
      </c>
      <c r="N135" s="19">
        <v>28257</v>
      </c>
      <c r="O135" s="19">
        <v>0</v>
      </c>
      <c r="P135" s="19">
        <v>189600</v>
      </c>
      <c r="Q135" s="19">
        <v>0</v>
      </c>
      <c r="R135" s="19">
        <v>0</v>
      </c>
      <c r="S135" s="19">
        <v>96687</v>
      </c>
      <c r="T135" s="19">
        <v>316523</v>
      </c>
      <c r="U135" s="19">
        <v>306890</v>
      </c>
      <c r="V135" s="19">
        <v>9633</v>
      </c>
      <c r="W135" s="47">
        <v>3.1</v>
      </c>
    </row>
    <row r="136" spans="2:23" ht="15" hidden="1">
      <c r="B136" s="46" t="s">
        <v>81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201355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201355</v>
      </c>
      <c r="U136" s="19">
        <v>781355</v>
      </c>
      <c r="V136" s="19">
        <v>-580000</v>
      </c>
      <c r="W136" s="47">
        <v>-74.2</v>
      </c>
    </row>
    <row r="137" spans="2:23" ht="15" hidden="1">
      <c r="B137" s="46" t="s">
        <v>64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19982558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19982558</v>
      </c>
      <c r="U137" s="19">
        <v>19939979</v>
      </c>
      <c r="V137" s="19">
        <v>42579</v>
      </c>
      <c r="W137" s="47">
        <v>0.2</v>
      </c>
    </row>
    <row r="138" spans="2:23" ht="15.75" hidden="1" thickBot="1">
      <c r="B138" s="48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49"/>
    </row>
    <row r="139" spans="2:23" ht="15.75" hidden="1" thickBot="1">
      <c r="B139" s="50" t="s">
        <v>84</v>
      </c>
      <c r="C139" s="51">
        <v>1400969</v>
      </c>
      <c r="D139" s="51">
        <v>756085</v>
      </c>
      <c r="E139" s="51">
        <v>184275</v>
      </c>
      <c r="F139" s="51">
        <v>2655487</v>
      </c>
      <c r="G139" s="51">
        <v>0</v>
      </c>
      <c r="H139" s="51">
        <v>1630670</v>
      </c>
      <c r="I139" s="51">
        <v>1197807</v>
      </c>
      <c r="J139" s="51">
        <v>3139770</v>
      </c>
      <c r="K139" s="51">
        <v>1892203</v>
      </c>
      <c r="L139" s="51">
        <v>6973028</v>
      </c>
      <c r="M139" s="51">
        <v>12468195</v>
      </c>
      <c r="N139" s="51">
        <v>76220075</v>
      </c>
      <c r="O139" s="51">
        <v>28625877</v>
      </c>
      <c r="P139" s="51">
        <v>33755172</v>
      </c>
      <c r="Q139" s="51">
        <v>957071</v>
      </c>
      <c r="R139" s="51">
        <v>2686502</v>
      </c>
      <c r="S139" s="51">
        <v>18236814</v>
      </c>
      <c r="T139" s="51">
        <v>192780000</v>
      </c>
      <c r="U139" s="51">
        <v>185750000</v>
      </c>
      <c r="V139" s="51">
        <v>7030000</v>
      </c>
      <c r="W139" s="52">
        <v>3.8</v>
      </c>
    </row>
    <row r="140" ht="15.75" hidden="1" thickTop="1"/>
  </sheetData>
  <sheetProtection/>
  <mergeCells count="1">
    <mergeCell ref="B9:T9"/>
  </mergeCells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28"/>
  <sheetViews>
    <sheetView showGridLines="0" zoomScalePageLayoutView="0" workbookViewId="0" topLeftCell="A1">
      <pane xSplit="1" ySplit="11" topLeftCell="B12" activePane="bottomRight" state="frozen"/>
      <selection pane="topLeft" activeCell="C78" sqref="C78"/>
      <selection pane="topRight" activeCell="C78" sqref="C78"/>
      <selection pane="bottomLeft" activeCell="C78" sqref="C78"/>
      <selection pane="bottomRight" activeCell="L46" sqref="L46"/>
    </sheetView>
  </sheetViews>
  <sheetFormatPr defaultColWidth="9.140625" defaultRowHeight="15" outlineLevelRow="1" outlineLevelCol="1"/>
  <cols>
    <col min="1" max="1" width="37.140625" style="53" bestFit="1" customWidth="1"/>
    <col min="2" max="2" width="14.00390625" style="53" customWidth="1" outlineLevel="1"/>
    <col min="3" max="3" width="14.8515625" style="53" customWidth="1" outlineLevel="1"/>
    <col min="4" max="4" width="13.57421875" style="53" customWidth="1" outlineLevel="1"/>
    <col min="5" max="5" width="12.00390625" style="53" customWidth="1" outlineLevel="1"/>
    <col min="6" max="6" width="12.28125" style="53" customWidth="1" outlineLevel="1"/>
    <col min="7" max="7" width="15.421875" style="53" customWidth="1" outlineLevel="1"/>
    <col min="8" max="8" width="11.00390625" style="53" customWidth="1" outlineLevel="1"/>
    <col min="9" max="9" width="11.28125" style="53" customWidth="1" outlineLevel="1"/>
    <col min="10" max="10" width="13.421875" style="53" customWidth="1" outlineLevel="1" collapsed="1"/>
    <col min="11" max="11" width="11.28125" style="53" customWidth="1" outlineLevel="1"/>
    <col min="12" max="12" width="12.140625" style="53" customWidth="1" outlineLevel="1"/>
    <col min="13" max="13" width="12.421875" style="53" customWidth="1" outlineLevel="1"/>
    <col min="14" max="14" width="13.28125" style="53" customWidth="1" outlineLevel="1"/>
    <col min="15" max="15" width="12.57421875" style="53" customWidth="1" outlineLevel="1"/>
    <col min="16" max="16" width="13.8515625" style="53" customWidth="1" outlineLevel="1"/>
    <col min="17" max="17" width="13.28125" style="53" customWidth="1"/>
    <col min="18" max="18" width="12.8515625" style="53" customWidth="1"/>
    <col min="19" max="19" width="13.28125" style="53" bestFit="1" customWidth="1"/>
    <col min="20" max="21" width="14.8515625" style="53" bestFit="1" customWidth="1"/>
    <col min="22" max="22" width="14.00390625" style="53" bestFit="1" customWidth="1"/>
    <col min="23" max="23" width="10.7109375" style="53" bestFit="1" customWidth="1"/>
    <col min="24" max="24" width="9.140625" style="54" customWidth="1"/>
    <col min="25" max="16384" width="9.140625" style="53" customWidth="1"/>
  </cols>
  <sheetData>
    <row r="1" spans="23:24" ht="12.75">
      <c r="W1" s="54"/>
      <c r="X1" s="53"/>
    </row>
    <row r="2" spans="1:24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54"/>
      <c r="X2" s="53"/>
    </row>
    <row r="3" spans="1:24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54"/>
      <c r="X3" s="53"/>
    </row>
    <row r="4" spans="1:24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54"/>
      <c r="X4" s="53"/>
    </row>
    <row r="5" spans="1:24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54"/>
      <c r="X5" s="53"/>
    </row>
    <row r="6" spans="1:24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54"/>
      <c r="X6" s="53"/>
    </row>
    <row r="7" spans="1:24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54"/>
      <c r="X7" s="53"/>
    </row>
    <row r="8" spans="1:24" ht="12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8"/>
      <c r="T8" s="85"/>
      <c r="U8" s="85"/>
      <c r="V8" s="85"/>
      <c r="W8" s="54"/>
      <c r="X8" s="53"/>
    </row>
    <row r="9" spans="1:24" ht="30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6"/>
      <c r="T9" s="85"/>
      <c r="U9" s="85"/>
      <c r="V9" s="85"/>
      <c r="W9" s="54"/>
      <c r="X9" s="53"/>
    </row>
    <row r="10" spans="1:22" s="82" customFormat="1" ht="38.25" customHeight="1">
      <c r="A10" s="84" t="s">
        <v>0</v>
      </c>
      <c r="B10" s="83" t="s">
        <v>1</v>
      </c>
      <c r="C10" s="83" t="s">
        <v>2</v>
      </c>
      <c r="D10" s="83" t="s">
        <v>3</v>
      </c>
      <c r="E10" s="83" t="s">
        <v>4</v>
      </c>
      <c r="F10" s="83" t="s">
        <v>5</v>
      </c>
      <c r="G10" s="83" t="s">
        <v>6</v>
      </c>
      <c r="H10" s="83" t="s">
        <v>7</v>
      </c>
      <c r="I10" s="83" t="s">
        <v>8</v>
      </c>
      <c r="J10" s="83" t="s">
        <v>9</v>
      </c>
      <c r="K10" s="83" t="s">
        <v>10</v>
      </c>
      <c r="L10" s="83" t="s">
        <v>11</v>
      </c>
      <c r="M10" s="83" t="s">
        <v>12</v>
      </c>
      <c r="N10" s="83" t="s">
        <v>13</v>
      </c>
      <c r="O10" s="83" t="s">
        <v>14</v>
      </c>
      <c r="P10" s="83" t="s">
        <v>15</v>
      </c>
      <c r="Q10" s="83" t="s">
        <v>16</v>
      </c>
      <c r="R10" s="83" t="s">
        <v>17</v>
      </c>
      <c r="S10" s="83" t="s">
        <v>18</v>
      </c>
      <c r="T10" s="83" t="s">
        <v>19</v>
      </c>
      <c r="U10" s="83" t="s">
        <v>20</v>
      </c>
      <c r="V10" s="83" t="s">
        <v>21</v>
      </c>
    </row>
    <row r="11" spans="1:24" ht="3" customHeight="1" thickBot="1">
      <c r="A11" s="81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54"/>
      <c r="X11" s="53"/>
    </row>
    <row r="12" spans="1:24" ht="12" customHeight="1">
      <c r="A12" s="78" t="s">
        <v>22</v>
      </c>
      <c r="B12" s="79">
        <f aca="true" t="shared" si="0" ref="B12:Q27">SUMIF($A$97:$A$225,$A$12:$A$90,B$97:B$225)</f>
        <v>1397555</v>
      </c>
      <c r="C12" s="79">
        <f t="shared" si="0"/>
        <v>411309</v>
      </c>
      <c r="D12" s="79">
        <f t="shared" si="0"/>
        <v>87196</v>
      </c>
      <c r="E12" s="79">
        <f t="shared" si="0"/>
        <v>987067</v>
      </c>
      <c r="F12" s="79">
        <f t="shared" si="0"/>
        <v>0</v>
      </c>
      <c r="G12" s="79">
        <f t="shared" si="0"/>
        <v>1062321</v>
      </c>
      <c r="H12" s="79">
        <f t="shared" si="0"/>
        <v>798505</v>
      </c>
      <c r="I12" s="79">
        <f t="shared" si="0"/>
        <v>794341</v>
      </c>
      <c r="J12" s="77">
        <f t="shared" si="0"/>
        <v>1483515</v>
      </c>
      <c r="K12" s="79">
        <f t="shared" si="0"/>
        <v>1529161</v>
      </c>
      <c r="L12" s="79">
        <f t="shared" si="0"/>
        <v>0</v>
      </c>
      <c r="M12" s="79">
        <f t="shared" si="0"/>
        <v>12513437</v>
      </c>
      <c r="N12" s="79">
        <f t="shared" si="0"/>
        <v>7937736</v>
      </c>
      <c r="O12" s="79">
        <f t="shared" si="0"/>
        <v>9062847</v>
      </c>
      <c r="P12" s="79">
        <f t="shared" si="0"/>
        <v>933769</v>
      </c>
      <c r="Q12" s="79">
        <f t="shared" si="0"/>
        <v>2373630</v>
      </c>
      <c r="R12" s="79">
        <f aca="true" t="shared" si="1" ref="L12:R27">SUMIF($A$97:$A$225,$A$12:$A$90,R$97:R$225)</f>
        <v>6525446</v>
      </c>
      <c r="S12" s="79">
        <f aca="true" t="shared" si="2" ref="S12:S75">SUM(B12:R12)</f>
        <v>47897835</v>
      </c>
      <c r="T12" s="79">
        <v>46921636</v>
      </c>
      <c r="U12" s="79">
        <f>S12-T12</f>
        <v>976199</v>
      </c>
      <c r="V12" s="73">
        <f>IF(T12=0,100%,U12/T12)</f>
        <v>0.020804879863950184</v>
      </c>
      <c r="W12" s="54"/>
      <c r="X12" s="53"/>
    </row>
    <row r="13" spans="1:24" ht="12" customHeight="1" hidden="1">
      <c r="A13" s="78" t="s">
        <v>23</v>
      </c>
      <c r="B13" s="77">
        <f t="shared" si="0"/>
        <v>0</v>
      </c>
      <c r="C13" s="77">
        <f t="shared" si="0"/>
        <v>0</v>
      </c>
      <c r="D13" s="77">
        <f t="shared" si="0"/>
        <v>0</v>
      </c>
      <c r="E13" s="77">
        <f t="shared" si="0"/>
        <v>0</v>
      </c>
      <c r="F13" s="77">
        <f t="shared" si="0"/>
        <v>0</v>
      </c>
      <c r="G13" s="77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7">
        <f t="shared" si="0"/>
        <v>0</v>
      </c>
      <c r="L13" s="77">
        <f t="shared" si="1"/>
        <v>0</v>
      </c>
      <c r="M13" s="77">
        <f t="shared" si="1"/>
        <v>0</v>
      </c>
      <c r="N13" s="77">
        <f t="shared" si="1"/>
        <v>0</v>
      </c>
      <c r="O13" s="77">
        <f t="shared" si="1"/>
        <v>0</v>
      </c>
      <c r="P13" s="77">
        <f t="shared" si="1"/>
        <v>0</v>
      </c>
      <c r="Q13" s="77">
        <f t="shared" si="1"/>
        <v>0</v>
      </c>
      <c r="R13" s="77">
        <f t="shared" si="1"/>
        <v>0</v>
      </c>
      <c r="S13" s="77">
        <f t="shared" si="2"/>
        <v>0</v>
      </c>
      <c r="T13" s="77">
        <v>0</v>
      </c>
      <c r="U13" s="76">
        <f aca="true" t="shared" si="3" ref="U13:U77">S13-T13</f>
        <v>0</v>
      </c>
      <c r="V13" s="73">
        <f aca="true" t="shared" si="4" ref="V13:V77">IF(T13=0,100%,U13/T13)</f>
        <v>1</v>
      </c>
      <c r="W13" s="54"/>
      <c r="X13" s="53"/>
    </row>
    <row r="14" spans="1:24" ht="12" customHeight="1">
      <c r="A14" s="78" t="s">
        <v>24</v>
      </c>
      <c r="B14" s="77">
        <f t="shared" si="0"/>
        <v>0</v>
      </c>
      <c r="C14" s="77">
        <f t="shared" si="0"/>
        <v>0</v>
      </c>
      <c r="D14" s="77">
        <f t="shared" si="0"/>
        <v>0</v>
      </c>
      <c r="E14" s="77">
        <f t="shared" si="0"/>
        <v>0</v>
      </c>
      <c r="F14" s="77">
        <f t="shared" si="0"/>
        <v>0</v>
      </c>
      <c r="G14" s="77">
        <f t="shared" si="0"/>
        <v>47270</v>
      </c>
      <c r="H14" s="77">
        <f t="shared" si="0"/>
        <v>0</v>
      </c>
      <c r="I14" s="77">
        <f t="shared" si="0"/>
        <v>128045</v>
      </c>
      <c r="J14" s="77">
        <f t="shared" si="0"/>
        <v>0</v>
      </c>
      <c r="K14" s="77">
        <f t="shared" si="0"/>
        <v>0</v>
      </c>
      <c r="L14" s="77">
        <f t="shared" si="1"/>
        <v>0</v>
      </c>
      <c r="M14" s="77">
        <f t="shared" si="1"/>
        <v>0</v>
      </c>
      <c r="N14" s="77">
        <f t="shared" si="1"/>
        <v>0</v>
      </c>
      <c r="O14" s="77">
        <f t="shared" si="1"/>
        <v>0</v>
      </c>
      <c r="P14" s="77">
        <f t="shared" si="1"/>
        <v>0</v>
      </c>
      <c r="Q14" s="77">
        <f t="shared" si="1"/>
        <v>0</v>
      </c>
      <c r="R14" s="77">
        <f t="shared" si="1"/>
        <v>0</v>
      </c>
      <c r="S14" s="77">
        <f t="shared" si="2"/>
        <v>175315</v>
      </c>
      <c r="T14" s="77">
        <v>174760</v>
      </c>
      <c r="U14" s="76">
        <f t="shared" si="3"/>
        <v>555</v>
      </c>
      <c r="V14" s="73">
        <f t="shared" si="4"/>
        <v>0.0031757839322499428</v>
      </c>
      <c r="W14" s="54"/>
      <c r="X14" s="53"/>
    </row>
    <row r="15" spans="1:24" ht="12" customHeight="1">
      <c r="A15" s="78" t="s">
        <v>25</v>
      </c>
      <c r="B15" s="77">
        <f t="shared" si="0"/>
        <v>544</v>
      </c>
      <c r="C15" s="77">
        <f t="shared" si="0"/>
        <v>0</v>
      </c>
      <c r="D15" s="77">
        <f t="shared" si="0"/>
        <v>0</v>
      </c>
      <c r="E15" s="77">
        <f t="shared" si="0"/>
        <v>0</v>
      </c>
      <c r="F15" s="77">
        <f t="shared" si="0"/>
        <v>0</v>
      </c>
      <c r="G15" s="77">
        <f t="shared" si="0"/>
        <v>2396</v>
      </c>
      <c r="H15" s="77">
        <f t="shared" si="0"/>
        <v>0</v>
      </c>
      <c r="I15" s="77">
        <f t="shared" si="0"/>
        <v>0</v>
      </c>
      <c r="J15" s="77">
        <f t="shared" si="0"/>
        <v>1978</v>
      </c>
      <c r="K15" s="77">
        <f t="shared" si="0"/>
        <v>1562</v>
      </c>
      <c r="L15" s="77">
        <f t="shared" si="1"/>
        <v>0</v>
      </c>
      <c r="M15" s="77">
        <f t="shared" si="1"/>
        <v>426494</v>
      </c>
      <c r="N15" s="77">
        <f t="shared" si="1"/>
        <v>100257</v>
      </c>
      <c r="O15" s="77">
        <f t="shared" si="1"/>
        <v>340032</v>
      </c>
      <c r="P15" s="77">
        <f t="shared" si="1"/>
        <v>0</v>
      </c>
      <c r="Q15" s="77">
        <f t="shared" si="1"/>
        <v>0</v>
      </c>
      <c r="R15" s="77">
        <f t="shared" si="1"/>
        <v>23147</v>
      </c>
      <c r="S15" s="77">
        <f t="shared" si="2"/>
        <v>896410</v>
      </c>
      <c r="T15" s="77">
        <v>896928</v>
      </c>
      <c r="U15" s="76">
        <f t="shared" si="3"/>
        <v>-518</v>
      </c>
      <c r="V15" s="73">
        <f t="shared" si="4"/>
        <v>-0.0005775268471939777</v>
      </c>
      <c r="W15" s="54"/>
      <c r="X15" s="53"/>
    </row>
    <row r="16" spans="1:24" ht="12" customHeight="1">
      <c r="A16" s="78" t="s">
        <v>26</v>
      </c>
      <c r="B16" s="77">
        <f t="shared" si="0"/>
        <v>0</v>
      </c>
      <c r="C16" s="77">
        <f t="shared" si="0"/>
        <v>0</v>
      </c>
      <c r="D16" s="77">
        <f t="shared" si="0"/>
        <v>0</v>
      </c>
      <c r="E16" s="77">
        <f t="shared" si="0"/>
        <v>0</v>
      </c>
      <c r="F16" s="77">
        <f t="shared" si="0"/>
        <v>0</v>
      </c>
      <c r="G16" s="77">
        <f t="shared" si="0"/>
        <v>0</v>
      </c>
      <c r="H16" s="77">
        <f t="shared" si="0"/>
        <v>0</v>
      </c>
      <c r="I16" s="77">
        <f t="shared" si="0"/>
        <v>0</v>
      </c>
      <c r="J16" s="77">
        <f t="shared" si="0"/>
        <v>0</v>
      </c>
      <c r="K16" s="77">
        <f t="shared" si="0"/>
        <v>0</v>
      </c>
      <c r="L16" s="77">
        <f t="shared" si="1"/>
        <v>10142352</v>
      </c>
      <c r="M16" s="77">
        <f t="shared" si="1"/>
        <v>0</v>
      </c>
      <c r="N16" s="77">
        <f t="shared" si="1"/>
        <v>0</v>
      </c>
      <c r="O16" s="77">
        <f t="shared" si="1"/>
        <v>0</v>
      </c>
      <c r="P16" s="77">
        <f t="shared" si="1"/>
        <v>0</v>
      </c>
      <c r="Q16" s="77">
        <f t="shared" si="1"/>
        <v>0</v>
      </c>
      <c r="R16" s="77">
        <f t="shared" si="1"/>
        <v>0</v>
      </c>
      <c r="S16" s="77">
        <f t="shared" si="2"/>
        <v>10142352</v>
      </c>
      <c r="T16" s="77">
        <v>10171587</v>
      </c>
      <c r="U16" s="76">
        <f t="shared" si="3"/>
        <v>-29235</v>
      </c>
      <c r="V16" s="73">
        <f t="shared" si="4"/>
        <v>-0.0028741827602713323</v>
      </c>
      <c r="W16" s="54"/>
      <c r="X16" s="53"/>
    </row>
    <row r="17" spans="1:24" ht="12" customHeight="1">
      <c r="A17" s="78" t="s">
        <v>27</v>
      </c>
      <c r="B17" s="77">
        <f t="shared" si="0"/>
        <v>176949</v>
      </c>
      <c r="C17" s="77">
        <f t="shared" si="0"/>
        <v>42065</v>
      </c>
      <c r="D17" s="77">
        <f t="shared" si="0"/>
        <v>11056</v>
      </c>
      <c r="E17" s="77">
        <f t="shared" si="0"/>
        <v>126525</v>
      </c>
      <c r="F17" s="77">
        <f t="shared" si="0"/>
        <v>0</v>
      </c>
      <c r="G17" s="77">
        <f t="shared" si="0"/>
        <v>134899</v>
      </c>
      <c r="H17" s="77">
        <f t="shared" si="0"/>
        <v>101371</v>
      </c>
      <c r="I17" s="77">
        <f t="shared" si="0"/>
        <v>98989</v>
      </c>
      <c r="J17" s="77">
        <f t="shared" si="0"/>
        <v>188109</v>
      </c>
      <c r="K17" s="77">
        <f t="shared" si="0"/>
        <v>193577</v>
      </c>
      <c r="L17" s="77">
        <f t="shared" si="1"/>
        <v>0</v>
      </c>
      <c r="M17" s="77">
        <f t="shared" si="1"/>
        <v>1588288</v>
      </c>
      <c r="N17" s="77">
        <f t="shared" si="1"/>
        <v>1016889</v>
      </c>
      <c r="O17" s="77">
        <f t="shared" si="1"/>
        <v>1151587</v>
      </c>
      <c r="P17" s="77">
        <f t="shared" si="1"/>
        <v>115961</v>
      </c>
      <c r="Q17" s="77">
        <f t="shared" si="1"/>
        <v>296817</v>
      </c>
      <c r="R17" s="77">
        <f t="shared" si="1"/>
        <v>834820</v>
      </c>
      <c r="S17" s="77">
        <f t="shared" si="2"/>
        <v>6077902</v>
      </c>
      <c r="T17" s="77">
        <v>6194206</v>
      </c>
      <c r="U17" s="76">
        <f t="shared" si="3"/>
        <v>-116304</v>
      </c>
      <c r="V17" s="73">
        <f t="shared" si="4"/>
        <v>-0.018776256391860393</v>
      </c>
      <c r="W17" s="54"/>
      <c r="X17" s="53"/>
    </row>
    <row r="18" spans="1:24" ht="12" customHeight="1">
      <c r="A18" s="78" t="s">
        <v>28</v>
      </c>
      <c r="B18" s="77">
        <f t="shared" si="0"/>
        <v>0</v>
      </c>
      <c r="C18" s="77">
        <f t="shared" si="0"/>
        <v>0</v>
      </c>
      <c r="D18" s="77">
        <f t="shared" si="0"/>
        <v>0</v>
      </c>
      <c r="E18" s="77">
        <f t="shared" si="0"/>
        <v>0</v>
      </c>
      <c r="F18" s="77">
        <f t="shared" si="0"/>
        <v>0</v>
      </c>
      <c r="G18" s="77">
        <f t="shared" si="0"/>
        <v>5994</v>
      </c>
      <c r="H18" s="77">
        <f t="shared" si="0"/>
        <v>0</v>
      </c>
      <c r="I18" s="77">
        <f t="shared" si="0"/>
        <v>16236</v>
      </c>
      <c r="J18" s="77">
        <f t="shared" si="0"/>
        <v>0</v>
      </c>
      <c r="K18" s="77">
        <f t="shared" si="0"/>
        <v>0</v>
      </c>
      <c r="L18" s="77">
        <f t="shared" si="1"/>
        <v>0</v>
      </c>
      <c r="M18" s="77">
        <f t="shared" si="1"/>
        <v>0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>
        <f t="shared" si="1"/>
        <v>0</v>
      </c>
      <c r="R18" s="77">
        <f t="shared" si="1"/>
        <v>0</v>
      </c>
      <c r="S18" s="77">
        <f t="shared" si="2"/>
        <v>22230</v>
      </c>
      <c r="T18" s="77">
        <v>23085</v>
      </c>
      <c r="U18" s="76">
        <f t="shared" si="3"/>
        <v>-855</v>
      </c>
      <c r="V18" s="73">
        <f t="shared" si="4"/>
        <v>-0.037037037037037035</v>
      </c>
      <c r="W18" s="54"/>
      <c r="X18" s="53"/>
    </row>
    <row r="19" spans="1:24" ht="12" customHeight="1" hidden="1">
      <c r="A19" s="78" t="s">
        <v>29</v>
      </c>
      <c r="B19" s="77">
        <f t="shared" si="0"/>
        <v>0</v>
      </c>
      <c r="C19" s="77">
        <f t="shared" si="0"/>
        <v>0</v>
      </c>
      <c r="D19" s="77">
        <f t="shared" si="0"/>
        <v>0</v>
      </c>
      <c r="E19" s="77">
        <f t="shared" si="0"/>
        <v>0</v>
      </c>
      <c r="F19" s="77">
        <f t="shared" si="0"/>
        <v>0</v>
      </c>
      <c r="G19" s="77">
        <f t="shared" si="0"/>
        <v>0</v>
      </c>
      <c r="H19" s="77">
        <f t="shared" si="0"/>
        <v>0</v>
      </c>
      <c r="I19" s="77">
        <f t="shared" si="0"/>
        <v>0</v>
      </c>
      <c r="J19" s="77">
        <f t="shared" si="0"/>
        <v>0</v>
      </c>
      <c r="K19" s="77">
        <f t="shared" si="0"/>
        <v>0</v>
      </c>
      <c r="L19" s="77">
        <f t="shared" si="1"/>
        <v>0</v>
      </c>
      <c r="M19" s="77">
        <f t="shared" si="1"/>
        <v>0</v>
      </c>
      <c r="N19" s="77">
        <f t="shared" si="1"/>
        <v>0</v>
      </c>
      <c r="O19" s="77">
        <f t="shared" si="1"/>
        <v>0</v>
      </c>
      <c r="P19" s="77">
        <f t="shared" si="1"/>
        <v>0</v>
      </c>
      <c r="Q19" s="77">
        <f t="shared" si="1"/>
        <v>0</v>
      </c>
      <c r="R19" s="77">
        <f t="shared" si="1"/>
        <v>0</v>
      </c>
      <c r="S19" s="77">
        <f t="shared" si="2"/>
        <v>0</v>
      </c>
      <c r="T19" s="77">
        <v>0</v>
      </c>
      <c r="U19" s="76">
        <f t="shared" si="3"/>
        <v>0</v>
      </c>
      <c r="V19" s="73">
        <f t="shared" si="4"/>
        <v>1</v>
      </c>
      <c r="W19" s="54"/>
      <c r="X19" s="53"/>
    </row>
    <row r="20" spans="1:24" ht="12" customHeight="1">
      <c r="A20" s="78" t="s">
        <v>30</v>
      </c>
      <c r="B20" s="77">
        <f t="shared" si="0"/>
        <v>0</v>
      </c>
      <c r="C20" s="77">
        <f t="shared" si="0"/>
        <v>0</v>
      </c>
      <c r="D20" s="77">
        <f t="shared" si="0"/>
        <v>0</v>
      </c>
      <c r="E20" s="77">
        <f t="shared" si="0"/>
        <v>0</v>
      </c>
      <c r="F20" s="77">
        <f t="shared" si="0"/>
        <v>0</v>
      </c>
      <c r="G20" s="77">
        <f t="shared" si="0"/>
        <v>31575</v>
      </c>
      <c r="H20" s="77">
        <f t="shared" si="0"/>
        <v>0</v>
      </c>
      <c r="I20" s="77">
        <f t="shared" si="0"/>
        <v>0</v>
      </c>
      <c r="J20" s="77">
        <f t="shared" si="0"/>
        <v>0</v>
      </c>
      <c r="K20" s="77">
        <f t="shared" si="0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 t="shared" si="1"/>
        <v>0</v>
      </c>
      <c r="S20" s="77">
        <f t="shared" si="2"/>
        <v>31575</v>
      </c>
      <c r="T20" s="77">
        <v>31575</v>
      </c>
      <c r="U20" s="76">
        <f t="shared" si="3"/>
        <v>0</v>
      </c>
      <c r="V20" s="73">
        <f t="shared" si="4"/>
        <v>0</v>
      </c>
      <c r="W20" s="54"/>
      <c r="X20" s="53"/>
    </row>
    <row r="21" spans="1:24" ht="12" customHeight="1">
      <c r="A21" s="78" t="s">
        <v>31</v>
      </c>
      <c r="B21" s="77">
        <f t="shared" si="0"/>
        <v>0</v>
      </c>
      <c r="C21" s="77">
        <f t="shared" si="0"/>
        <v>0</v>
      </c>
      <c r="D21" s="77">
        <f t="shared" si="0"/>
        <v>0</v>
      </c>
      <c r="E21" s="77">
        <f t="shared" si="0"/>
        <v>0</v>
      </c>
      <c r="F21" s="77">
        <f t="shared" si="0"/>
        <v>0</v>
      </c>
      <c r="G21" s="77">
        <f t="shared" si="0"/>
        <v>0</v>
      </c>
      <c r="H21" s="77">
        <f t="shared" si="0"/>
        <v>0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1"/>
        <v>227386</v>
      </c>
      <c r="M21" s="77">
        <f t="shared" si="1"/>
        <v>0</v>
      </c>
      <c r="N21" s="77">
        <f t="shared" si="1"/>
        <v>0</v>
      </c>
      <c r="O21" s="77">
        <f t="shared" si="1"/>
        <v>0</v>
      </c>
      <c r="P21" s="77">
        <f t="shared" si="1"/>
        <v>0</v>
      </c>
      <c r="Q21" s="77">
        <f t="shared" si="1"/>
        <v>0</v>
      </c>
      <c r="R21" s="77">
        <f t="shared" si="1"/>
        <v>0</v>
      </c>
      <c r="S21" s="77">
        <f t="shared" si="2"/>
        <v>227386</v>
      </c>
      <c r="T21" s="77">
        <v>227386</v>
      </c>
      <c r="U21" s="76">
        <f t="shared" si="3"/>
        <v>0</v>
      </c>
      <c r="V21" s="73">
        <f t="shared" si="4"/>
        <v>0</v>
      </c>
      <c r="W21" s="54"/>
      <c r="X21" s="53"/>
    </row>
    <row r="22" spans="1:24" ht="12" customHeight="1">
      <c r="A22" s="78" t="s">
        <v>32</v>
      </c>
      <c r="B22" s="77">
        <f t="shared" si="0"/>
        <v>0</v>
      </c>
      <c r="C22" s="77">
        <f t="shared" si="0"/>
        <v>0</v>
      </c>
      <c r="D22" s="77">
        <f t="shared" si="0"/>
        <v>0</v>
      </c>
      <c r="E22" s="77">
        <f t="shared" si="0"/>
        <v>0</v>
      </c>
      <c r="F22" s="77">
        <f t="shared" si="0"/>
        <v>0</v>
      </c>
      <c r="G22" s="77">
        <f t="shared" si="0"/>
        <v>0</v>
      </c>
      <c r="H22" s="77">
        <f t="shared" si="0"/>
        <v>0</v>
      </c>
      <c r="I22" s="77">
        <f t="shared" si="0"/>
        <v>0</v>
      </c>
      <c r="J22" s="77">
        <f t="shared" si="0"/>
        <v>0</v>
      </c>
      <c r="K22" s="77">
        <f t="shared" si="0"/>
        <v>0</v>
      </c>
      <c r="L22" s="95">
        <f t="shared" si="1"/>
        <v>3100000</v>
      </c>
      <c r="M22" s="77">
        <f t="shared" si="1"/>
        <v>0</v>
      </c>
      <c r="N22" s="77">
        <f t="shared" si="1"/>
        <v>0</v>
      </c>
      <c r="O22" s="77">
        <f t="shared" si="1"/>
        <v>0</v>
      </c>
      <c r="P22" s="77">
        <f t="shared" si="1"/>
        <v>0</v>
      </c>
      <c r="Q22" s="77">
        <f t="shared" si="1"/>
        <v>0</v>
      </c>
      <c r="R22" s="77">
        <f t="shared" si="1"/>
        <v>0</v>
      </c>
      <c r="S22" s="77">
        <f t="shared" si="2"/>
        <v>3100000</v>
      </c>
      <c r="T22" s="77">
        <v>0</v>
      </c>
      <c r="U22" s="76">
        <f t="shared" si="3"/>
        <v>3100000</v>
      </c>
      <c r="V22" s="73">
        <f t="shared" si="4"/>
        <v>1</v>
      </c>
      <c r="W22" s="54"/>
      <c r="X22" s="53"/>
    </row>
    <row r="23" spans="1:24" ht="12" customHeight="1">
      <c r="A23" s="78" t="s">
        <v>33</v>
      </c>
      <c r="B23" s="77">
        <f t="shared" si="0"/>
        <v>0</v>
      </c>
      <c r="C23" s="77">
        <f t="shared" si="0"/>
        <v>0</v>
      </c>
      <c r="D23" s="77">
        <f t="shared" si="0"/>
        <v>0</v>
      </c>
      <c r="E23" s="77">
        <f t="shared" si="0"/>
        <v>0</v>
      </c>
      <c r="F23" s="77">
        <f t="shared" si="0"/>
        <v>0</v>
      </c>
      <c r="G23" s="77">
        <f t="shared" si="0"/>
        <v>0</v>
      </c>
      <c r="H23" s="77">
        <f t="shared" si="0"/>
        <v>0</v>
      </c>
      <c r="I23" s="77">
        <f t="shared" si="0"/>
        <v>0</v>
      </c>
      <c r="J23" s="77">
        <f t="shared" si="0"/>
        <v>0</v>
      </c>
      <c r="K23" s="77">
        <f t="shared" si="0"/>
        <v>0</v>
      </c>
      <c r="L23" s="77">
        <f t="shared" si="1"/>
        <v>327941</v>
      </c>
      <c r="M23" s="77">
        <f t="shared" si="1"/>
        <v>0</v>
      </c>
      <c r="N23" s="77">
        <f t="shared" si="1"/>
        <v>0</v>
      </c>
      <c r="O23" s="77">
        <f t="shared" si="1"/>
        <v>0</v>
      </c>
      <c r="P23" s="77">
        <f t="shared" si="1"/>
        <v>0</v>
      </c>
      <c r="Q23" s="77">
        <f t="shared" si="1"/>
        <v>0</v>
      </c>
      <c r="R23" s="77">
        <f t="shared" si="1"/>
        <v>0</v>
      </c>
      <c r="S23" s="77">
        <f t="shared" si="2"/>
        <v>327941</v>
      </c>
      <c r="T23" s="77">
        <v>382573</v>
      </c>
      <c r="U23" s="76">
        <f t="shared" si="3"/>
        <v>-54632</v>
      </c>
      <c r="V23" s="73">
        <f t="shared" si="4"/>
        <v>-0.14280150454945853</v>
      </c>
      <c r="W23" s="54"/>
      <c r="X23" s="53"/>
    </row>
    <row r="24" spans="1:24" ht="12" customHeight="1">
      <c r="A24" s="78" t="s">
        <v>72</v>
      </c>
      <c r="B24" s="77">
        <f t="shared" si="0"/>
        <v>2308</v>
      </c>
      <c r="C24" s="77">
        <f t="shared" si="0"/>
        <v>2382</v>
      </c>
      <c r="D24" s="77">
        <f t="shared" si="0"/>
        <v>59697</v>
      </c>
      <c r="E24" s="77">
        <f t="shared" si="0"/>
        <v>0</v>
      </c>
      <c r="F24" s="77">
        <f t="shared" si="0"/>
        <v>0</v>
      </c>
      <c r="G24" s="77">
        <f t="shared" si="0"/>
        <v>8418</v>
      </c>
      <c r="H24" s="77">
        <f t="shared" si="0"/>
        <v>646</v>
      </c>
      <c r="I24" s="77">
        <f t="shared" si="0"/>
        <v>600</v>
      </c>
      <c r="J24" s="77">
        <f t="shared" si="0"/>
        <v>1571</v>
      </c>
      <c r="K24" s="77">
        <f t="shared" si="0"/>
        <v>12941</v>
      </c>
      <c r="L24" s="77">
        <f t="shared" si="1"/>
        <v>0</v>
      </c>
      <c r="M24" s="77">
        <f t="shared" si="1"/>
        <v>30525</v>
      </c>
      <c r="N24" s="77">
        <f t="shared" si="1"/>
        <v>0</v>
      </c>
      <c r="O24" s="77">
        <f t="shared" si="1"/>
        <v>6100</v>
      </c>
      <c r="P24" s="77">
        <f t="shared" si="1"/>
        <v>2013</v>
      </c>
      <c r="Q24" s="77">
        <f t="shared" si="1"/>
        <v>0</v>
      </c>
      <c r="R24" s="77">
        <f t="shared" si="1"/>
        <v>0</v>
      </c>
      <c r="S24" s="77">
        <f t="shared" si="2"/>
        <v>127201</v>
      </c>
      <c r="T24" s="77">
        <v>126232</v>
      </c>
      <c r="U24" s="76">
        <f t="shared" si="3"/>
        <v>969</v>
      </c>
      <c r="V24" s="73">
        <f t="shared" si="4"/>
        <v>0.007676341973509094</v>
      </c>
      <c r="W24" s="54"/>
      <c r="X24" s="53"/>
    </row>
    <row r="25" spans="1:24" ht="12" customHeight="1">
      <c r="A25" s="78" t="s">
        <v>35</v>
      </c>
      <c r="B25" s="77">
        <f t="shared" si="0"/>
        <v>1023</v>
      </c>
      <c r="C25" s="77">
        <f t="shared" si="0"/>
        <v>273641</v>
      </c>
      <c r="D25" s="77">
        <f t="shared" si="0"/>
        <v>0</v>
      </c>
      <c r="E25" s="77">
        <f t="shared" si="0"/>
        <v>727374</v>
      </c>
      <c r="F25" s="77">
        <f t="shared" si="0"/>
        <v>0</v>
      </c>
      <c r="G25" s="77">
        <f t="shared" si="0"/>
        <v>162551</v>
      </c>
      <c r="H25" s="77">
        <f t="shared" si="0"/>
        <v>197763</v>
      </c>
      <c r="I25" s="77">
        <f t="shared" si="0"/>
        <v>0</v>
      </c>
      <c r="J25" s="77">
        <f t="shared" si="0"/>
        <v>2030</v>
      </c>
      <c r="K25" s="77">
        <f t="shared" si="0"/>
        <v>1807752</v>
      </c>
      <c r="L25" s="77">
        <f t="shared" si="1"/>
        <v>0</v>
      </c>
      <c r="M25" s="77">
        <f t="shared" si="1"/>
        <v>12482637</v>
      </c>
      <c r="N25" s="77">
        <f t="shared" si="1"/>
        <v>3100000</v>
      </c>
      <c r="O25" s="77">
        <f t="shared" si="1"/>
        <v>487000</v>
      </c>
      <c r="P25" s="77">
        <f t="shared" si="1"/>
        <v>56000</v>
      </c>
      <c r="Q25" s="77">
        <f t="shared" si="1"/>
        <v>33080</v>
      </c>
      <c r="R25" s="77">
        <f t="shared" si="1"/>
        <v>82852</v>
      </c>
      <c r="S25" s="77">
        <f t="shared" si="2"/>
        <v>19413703</v>
      </c>
      <c r="T25" s="77">
        <v>17820980</v>
      </c>
      <c r="U25" s="76">
        <f t="shared" si="3"/>
        <v>1592723</v>
      </c>
      <c r="V25" s="73">
        <f t="shared" si="4"/>
        <v>0.08937348002186188</v>
      </c>
      <c r="W25" s="54"/>
      <c r="X25" s="53"/>
    </row>
    <row r="26" spans="1:24" ht="12" customHeight="1">
      <c r="A26" s="78" t="s">
        <v>36</v>
      </c>
      <c r="B26" s="77">
        <f t="shared" si="0"/>
        <v>0</v>
      </c>
      <c r="C26" s="77">
        <f t="shared" si="0"/>
        <v>0</v>
      </c>
      <c r="D26" s="77">
        <f t="shared" si="0"/>
        <v>0</v>
      </c>
      <c r="E26" s="77">
        <f t="shared" si="0"/>
        <v>0</v>
      </c>
      <c r="F26" s="77">
        <f t="shared" si="0"/>
        <v>0</v>
      </c>
      <c r="G26" s="77">
        <f t="shared" si="0"/>
        <v>0</v>
      </c>
      <c r="H26" s="77">
        <f t="shared" si="0"/>
        <v>0</v>
      </c>
      <c r="I26" s="77">
        <f t="shared" si="0"/>
        <v>4386669</v>
      </c>
      <c r="J26" s="77">
        <f t="shared" si="0"/>
        <v>0</v>
      </c>
      <c r="K26" s="77">
        <f t="shared" si="0"/>
        <v>0</v>
      </c>
      <c r="L26" s="77">
        <f t="shared" si="1"/>
        <v>0</v>
      </c>
      <c r="M26" s="77">
        <f t="shared" si="1"/>
        <v>0</v>
      </c>
      <c r="N26" s="77">
        <f t="shared" si="1"/>
        <v>0</v>
      </c>
      <c r="O26" s="77">
        <f t="shared" si="1"/>
        <v>0</v>
      </c>
      <c r="P26" s="77">
        <f t="shared" si="1"/>
        <v>0</v>
      </c>
      <c r="Q26" s="77">
        <f t="shared" si="1"/>
        <v>0</v>
      </c>
      <c r="R26" s="77">
        <f t="shared" si="1"/>
        <v>0</v>
      </c>
      <c r="S26" s="77">
        <f t="shared" si="2"/>
        <v>4386669</v>
      </c>
      <c r="T26" s="77">
        <v>4368669</v>
      </c>
      <c r="U26" s="76">
        <f t="shared" si="3"/>
        <v>18000</v>
      </c>
      <c r="V26" s="73">
        <f t="shared" si="4"/>
        <v>0.004120248066401918</v>
      </c>
      <c r="W26" s="54"/>
      <c r="X26" s="53"/>
    </row>
    <row r="27" spans="1:24" ht="12" customHeight="1">
      <c r="A27" s="78" t="s">
        <v>37</v>
      </c>
      <c r="B27" s="77">
        <f t="shared" si="0"/>
        <v>0</v>
      </c>
      <c r="C27" s="77">
        <f t="shared" si="0"/>
        <v>0</v>
      </c>
      <c r="D27" s="77">
        <f t="shared" si="0"/>
        <v>0</v>
      </c>
      <c r="E27" s="77">
        <f t="shared" si="0"/>
        <v>0</v>
      </c>
      <c r="F27" s="77">
        <f t="shared" si="0"/>
        <v>0</v>
      </c>
      <c r="G27" s="77">
        <f t="shared" si="0"/>
        <v>0</v>
      </c>
      <c r="H27" s="77">
        <f t="shared" si="0"/>
        <v>392699</v>
      </c>
      <c r="I27" s="77">
        <f t="shared" si="0"/>
        <v>0</v>
      </c>
      <c r="J27" s="77">
        <f t="shared" si="0"/>
        <v>0</v>
      </c>
      <c r="K27" s="77">
        <f t="shared" si="0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77">
        <f t="shared" si="1"/>
        <v>0</v>
      </c>
      <c r="R27" s="77">
        <f t="shared" si="1"/>
        <v>0</v>
      </c>
      <c r="S27" s="77">
        <f t="shared" si="2"/>
        <v>392699</v>
      </c>
      <c r="T27" s="77">
        <v>384699</v>
      </c>
      <c r="U27" s="76">
        <f t="shared" si="3"/>
        <v>8000</v>
      </c>
      <c r="V27" s="73">
        <f t="shared" si="4"/>
        <v>0.020795479062851736</v>
      </c>
      <c r="W27" s="54"/>
      <c r="X27" s="53"/>
    </row>
    <row r="28" spans="1:24" ht="12" customHeight="1">
      <c r="A28" s="78" t="s">
        <v>38</v>
      </c>
      <c r="B28" s="77">
        <f aca="true" t="shared" si="5" ref="B28:Q43">SUMIF($A$97:$A$225,$A$12:$A$90,B$97:B$225)</f>
        <v>0</v>
      </c>
      <c r="C28" s="77">
        <f t="shared" si="5"/>
        <v>0</v>
      </c>
      <c r="D28" s="77">
        <f t="shared" si="5"/>
        <v>0</v>
      </c>
      <c r="E28" s="77">
        <f t="shared" si="5"/>
        <v>535399</v>
      </c>
      <c r="F28" s="77">
        <f t="shared" si="5"/>
        <v>0</v>
      </c>
      <c r="G28" s="77">
        <f t="shared" si="5"/>
        <v>0</v>
      </c>
      <c r="H28" s="77">
        <f t="shared" si="5"/>
        <v>0</v>
      </c>
      <c r="I28" s="77">
        <f t="shared" si="5"/>
        <v>0</v>
      </c>
      <c r="J28" s="77">
        <f t="shared" si="5"/>
        <v>0</v>
      </c>
      <c r="K28" s="77">
        <f t="shared" si="5"/>
        <v>0</v>
      </c>
      <c r="L28" s="77">
        <f t="shared" si="5"/>
        <v>0</v>
      </c>
      <c r="M28" s="77">
        <f t="shared" si="5"/>
        <v>0</v>
      </c>
      <c r="N28" s="77">
        <f t="shared" si="5"/>
        <v>0</v>
      </c>
      <c r="O28" s="77">
        <f t="shared" si="5"/>
        <v>0</v>
      </c>
      <c r="P28" s="77">
        <f t="shared" si="5"/>
        <v>0</v>
      </c>
      <c r="Q28" s="77">
        <f t="shared" si="5"/>
        <v>0</v>
      </c>
      <c r="R28" s="77">
        <f aca="true" t="shared" si="6" ref="L28:R43">SUMIF($A$97:$A$225,$A$12:$A$90,R$97:R$225)</f>
        <v>0</v>
      </c>
      <c r="S28" s="77">
        <f t="shared" si="2"/>
        <v>535399</v>
      </c>
      <c r="T28" s="77">
        <v>535399</v>
      </c>
      <c r="U28" s="76">
        <f t="shared" si="3"/>
        <v>0</v>
      </c>
      <c r="V28" s="73">
        <f t="shared" si="4"/>
        <v>0</v>
      </c>
      <c r="W28" s="54"/>
      <c r="X28" s="53"/>
    </row>
    <row r="29" spans="1:24" ht="12" customHeight="1">
      <c r="A29" s="78" t="s">
        <v>82</v>
      </c>
      <c r="B29" s="77">
        <f t="shared" si="5"/>
        <v>0</v>
      </c>
      <c r="C29" s="77">
        <f t="shared" si="5"/>
        <v>0</v>
      </c>
      <c r="D29" s="77">
        <f t="shared" si="5"/>
        <v>0</v>
      </c>
      <c r="E29" s="77">
        <f t="shared" si="5"/>
        <v>91000</v>
      </c>
      <c r="F29" s="77">
        <f t="shared" si="5"/>
        <v>0</v>
      </c>
      <c r="G29" s="77">
        <f t="shared" si="5"/>
        <v>0</v>
      </c>
      <c r="H29" s="77">
        <f t="shared" si="5"/>
        <v>0</v>
      </c>
      <c r="I29" s="77">
        <f t="shared" si="5"/>
        <v>0</v>
      </c>
      <c r="J29" s="77">
        <f t="shared" si="5"/>
        <v>0</v>
      </c>
      <c r="K29" s="77">
        <f t="shared" si="5"/>
        <v>0</v>
      </c>
      <c r="L29" s="77">
        <f t="shared" si="6"/>
        <v>0</v>
      </c>
      <c r="M29" s="77">
        <f t="shared" si="6"/>
        <v>0</v>
      </c>
      <c r="N29" s="77">
        <f t="shared" si="6"/>
        <v>0</v>
      </c>
      <c r="O29" s="77">
        <f t="shared" si="6"/>
        <v>0</v>
      </c>
      <c r="P29" s="77">
        <f t="shared" si="6"/>
        <v>0</v>
      </c>
      <c r="Q29" s="77">
        <f t="shared" si="6"/>
        <v>0</v>
      </c>
      <c r="R29" s="77">
        <f t="shared" si="6"/>
        <v>0</v>
      </c>
      <c r="S29" s="77">
        <f t="shared" si="2"/>
        <v>91000</v>
      </c>
      <c r="T29" s="77">
        <v>116000</v>
      </c>
      <c r="U29" s="76">
        <f t="shared" si="3"/>
        <v>-25000</v>
      </c>
      <c r="V29" s="73">
        <f t="shared" si="4"/>
        <v>-0.21551724137931033</v>
      </c>
      <c r="W29" s="54"/>
      <c r="X29" s="53"/>
    </row>
    <row r="30" spans="1:24" ht="12" customHeight="1">
      <c r="A30" s="78" t="s">
        <v>113</v>
      </c>
      <c r="B30" s="77">
        <f t="shared" si="5"/>
        <v>0</v>
      </c>
      <c r="C30" s="77">
        <f t="shared" si="5"/>
        <v>0</v>
      </c>
      <c r="D30" s="77">
        <f t="shared" si="5"/>
        <v>0</v>
      </c>
      <c r="E30" s="77">
        <f t="shared" si="5"/>
        <v>2180167</v>
      </c>
      <c r="F30" s="77">
        <f t="shared" si="5"/>
        <v>0</v>
      </c>
      <c r="G30" s="77">
        <f t="shared" si="5"/>
        <v>0</v>
      </c>
      <c r="H30" s="77">
        <f t="shared" si="5"/>
        <v>0</v>
      </c>
      <c r="I30" s="77">
        <f t="shared" si="5"/>
        <v>0</v>
      </c>
      <c r="J30" s="77">
        <f t="shared" si="5"/>
        <v>0</v>
      </c>
      <c r="K30" s="77">
        <f t="shared" si="5"/>
        <v>0</v>
      </c>
      <c r="L30" s="77">
        <f t="shared" si="6"/>
        <v>0</v>
      </c>
      <c r="M30" s="77">
        <f t="shared" si="6"/>
        <v>0</v>
      </c>
      <c r="N30" s="77">
        <f t="shared" si="6"/>
        <v>0</v>
      </c>
      <c r="O30" s="77">
        <f t="shared" si="6"/>
        <v>0</v>
      </c>
      <c r="P30" s="77">
        <f t="shared" si="6"/>
        <v>0</v>
      </c>
      <c r="Q30" s="77">
        <f t="shared" si="6"/>
        <v>0</v>
      </c>
      <c r="R30" s="77">
        <f t="shared" si="6"/>
        <v>0</v>
      </c>
      <c r="S30" s="77">
        <f t="shared" si="2"/>
        <v>2180167</v>
      </c>
      <c r="T30" s="77">
        <v>2180167</v>
      </c>
      <c r="U30" s="76">
        <f t="shared" si="3"/>
        <v>0</v>
      </c>
      <c r="V30" s="73">
        <f t="shared" si="4"/>
        <v>0</v>
      </c>
      <c r="W30" s="54"/>
      <c r="X30" s="53"/>
    </row>
    <row r="31" spans="1:24" ht="12" customHeight="1">
      <c r="A31" s="78" t="s">
        <v>39</v>
      </c>
      <c r="B31" s="77">
        <f t="shared" si="5"/>
        <v>0</v>
      </c>
      <c r="C31" s="77">
        <f t="shared" si="5"/>
        <v>0</v>
      </c>
      <c r="D31" s="77">
        <f t="shared" si="5"/>
        <v>0</v>
      </c>
      <c r="E31" s="77">
        <f t="shared" si="5"/>
        <v>988199</v>
      </c>
      <c r="F31" s="77">
        <f t="shared" si="5"/>
        <v>0</v>
      </c>
      <c r="G31" s="77">
        <f t="shared" si="5"/>
        <v>0</v>
      </c>
      <c r="H31" s="77">
        <f t="shared" si="5"/>
        <v>0</v>
      </c>
      <c r="I31" s="77">
        <f t="shared" si="5"/>
        <v>0</v>
      </c>
      <c r="J31" s="77">
        <f t="shared" si="5"/>
        <v>0</v>
      </c>
      <c r="K31" s="77">
        <f t="shared" si="5"/>
        <v>0</v>
      </c>
      <c r="L31" s="77">
        <f t="shared" si="6"/>
        <v>0</v>
      </c>
      <c r="M31" s="77">
        <f t="shared" si="6"/>
        <v>0</v>
      </c>
      <c r="N31" s="77">
        <f t="shared" si="6"/>
        <v>0</v>
      </c>
      <c r="O31" s="77">
        <f t="shared" si="6"/>
        <v>0</v>
      </c>
      <c r="P31" s="77">
        <f t="shared" si="6"/>
        <v>0</v>
      </c>
      <c r="Q31" s="77">
        <f t="shared" si="6"/>
        <v>0</v>
      </c>
      <c r="R31" s="77">
        <f t="shared" si="6"/>
        <v>850000</v>
      </c>
      <c r="S31" s="77">
        <f t="shared" si="2"/>
        <v>1838199</v>
      </c>
      <c r="T31" s="77">
        <v>2338199</v>
      </c>
      <c r="U31" s="76">
        <f t="shared" si="3"/>
        <v>-500000</v>
      </c>
      <c r="V31" s="73">
        <f t="shared" si="4"/>
        <v>-0.2138397972114435</v>
      </c>
      <c r="W31" s="54"/>
      <c r="X31" s="53"/>
    </row>
    <row r="32" spans="1:24" ht="12" customHeight="1">
      <c r="A32" s="78" t="s">
        <v>40</v>
      </c>
      <c r="B32" s="77">
        <f t="shared" si="5"/>
        <v>0</v>
      </c>
      <c r="C32" s="77">
        <f t="shared" si="5"/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6"/>
        <v>0</v>
      </c>
      <c r="M32" s="77">
        <f t="shared" si="6"/>
        <v>0</v>
      </c>
      <c r="N32" s="77">
        <f t="shared" si="6"/>
        <v>0</v>
      </c>
      <c r="O32" s="77">
        <f t="shared" si="6"/>
        <v>0</v>
      </c>
      <c r="P32" s="77">
        <f t="shared" si="6"/>
        <v>0</v>
      </c>
      <c r="Q32" s="77">
        <f t="shared" si="6"/>
        <v>0</v>
      </c>
      <c r="R32" s="77">
        <f t="shared" si="6"/>
        <v>9592404</v>
      </c>
      <c r="S32" s="77">
        <f t="shared" si="2"/>
        <v>9592404</v>
      </c>
      <c r="T32" s="77">
        <v>9818605</v>
      </c>
      <c r="U32" s="76">
        <f t="shared" si="3"/>
        <v>-226201</v>
      </c>
      <c r="V32" s="73">
        <f t="shared" si="4"/>
        <v>-0.02303799776037431</v>
      </c>
      <c r="W32" s="54"/>
      <c r="X32" s="53"/>
    </row>
    <row r="33" spans="1:24" ht="12" customHeight="1">
      <c r="A33" s="78" t="s">
        <v>41</v>
      </c>
      <c r="B33" s="77">
        <f t="shared" si="5"/>
        <v>0</v>
      </c>
      <c r="C33" s="77">
        <f t="shared" si="5"/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77">
        <f t="shared" si="5"/>
        <v>0</v>
      </c>
      <c r="L33" s="77">
        <f t="shared" si="6"/>
        <v>0</v>
      </c>
      <c r="M33" s="77">
        <f t="shared" si="6"/>
        <v>59627</v>
      </c>
      <c r="N33" s="77">
        <f t="shared" si="6"/>
        <v>0</v>
      </c>
      <c r="O33" s="77">
        <f t="shared" si="6"/>
        <v>0</v>
      </c>
      <c r="P33" s="77">
        <f t="shared" si="6"/>
        <v>0</v>
      </c>
      <c r="Q33" s="77">
        <f t="shared" si="6"/>
        <v>0</v>
      </c>
      <c r="R33" s="77">
        <f t="shared" si="6"/>
        <v>0</v>
      </c>
      <c r="S33" s="77">
        <f t="shared" si="2"/>
        <v>59627</v>
      </c>
      <c r="T33" s="77">
        <v>39827</v>
      </c>
      <c r="U33" s="76">
        <f t="shared" si="3"/>
        <v>19800</v>
      </c>
      <c r="V33" s="73">
        <f t="shared" si="4"/>
        <v>0.497150174504733</v>
      </c>
      <c r="W33" s="54"/>
      <c r="X33" s="53"/>
    </row>
    <row r="34" spans="1:24" ht="12" customHeight="1">
      <c r="A34" s="78" t="s">
        <v>45</v>
      </c>
      <c r="B34" s="77">
        <f t="shared" si="5"/>
        <v>0</v>
      </c>
      <c r="C34" s="77">
        <f t="shared" si="5"/>
        <v>0</v>
      </c>
      <c r="D34" s="77">
        <f t="shared" si="5"/>
        <v>0</v>
      </c>
      <c r="E34" s="77">
        <f t="shared" si="5"/>
        <v>0</v>
      </c>
      <c r="F34" s="77">
        <f t="shared" si="5"/>
        <v>0</v>
      </c>
      <c r="G34" s="77">
        <f t="shared" si="5"/>
        <v>0</v>
      </c>
      <c r="H34" s="77">
        <f t="shared" si="5"/>
        <v>0</v>
      </c>
      <c r="I34" s="77">
        <f t="shared" si="5"/>
        <v>0</v>
      </c>
      <c r="J34" s="77">
        <f t="shared" si="5"/>
        <v>0</v>
      </c>
      <c r="K34" s="77">
        <f t="shared" si="5"/>
        <v>0</v>
      </c>
      <c r="L34" s="77">
        <f t="shared" si="6"/>
        <v>0</v>
      </c>
      <c r="M34" s="77">
        <f t="shared" si="6"/>
        <v>0</v>
      </c>
      <c r="N34" s="77">
        <f t="shared" si="6"/>
        <v>8121000</v>
      </c>
      <c r="O34" s="77">
        <f t="shared" si="6"/>
        <v>16175655</v>
      </c>
      <c r="P34" s="77">
        <f t="shared" si="6"/>
        <v>0</v>
      </c>
      <c r="Q34" s="77">
        <f t="shared" si="6"/>
        <v>0</v>
      </c>
      <c r="R34" s="77">
        <f t="shared" si="6"/>
        <v>55136</v>
      </c>
      <c r="S34" s="77">
        <f t="shared" si="2"/>
        <v>24351791</v>
      </c>
      <c r="T34" s="77">
        <v>23275860</v>
      </c>
      <c r="U34" s="76">
        <f t="shared" si="3"/>
        <v>1075931</v>
      </c>
      <c r="V34" s="73">
        <f t="shared" si="4"/>
        <v>0.046225187812609286</v>
      </c>
      <c r="W34" s="54"/>
      <c r="X34" s="53"/>
    </row>
    <row r="35" spans="1:24" ht="12" customHeight="1">
      <c r="A35" s="78" t="s">
        <v>112</v>
      </c>
      <c r="B35" s="77">
        <f t="shared" si="5"/>
        <v>0</v>
      </c>
      <c r="C35" s="77">
        <f t="shared" si="5"/>
        <v>0</v>
      </c>
      <c r="D35" s="77">
        <f t="shared" si="5"/>
        <v>0</v>
      </c>
      <c r="E35" s="77">
        <f t="shared" si="5"/>
        <v>0</v>
      </c>
      <c r="F35" s="77">
        <f t="shared" si="5"/>
        <v>0</v>
      </c>
      <c r="G35" s="77">
        <f t="shared" si="5"/>
        <v>0</v>
      </c>
      <c r="H35" s="77">
        <f t="shared" si="5"/>
        <v>0</v>
      </c>
      <c r="I35" s="77">
        <f t="shared" si="5"/>
        <v>0</v>
      </c>
      <c r="J35" s="77">
        <f t="shared" si="5"/>
        <v>0</v>
      </c>
      <c r="K35" s="77">
        <f t="shared" si="5"/>
        <v>0</v>
      </c>
      <c r="L35" s="77">
        <f t="shared" si="6"/>
        <v>0</v>
      </c>
      <c r="M35" s="77">
        <f t="shared" si="6"/>
        <v>0</v>
      </c>
      <c r="N35" s="77">
        <f t="shared" si="6"/>
        <v>0</v>
      </c>
      <c r="O35" s="77">
        <f t="shared" si="6"/>
        <v>0</v>
      </c>
      <c r="P35" s="77">
        <f t="shared" si="6"/>
        <v>0</v>
      </c>
      <c r="Q35" s="77">
        <f t="shared" si="6"/>
        <v>2575051</v>
      </c>
      <c r="R35" s="77">
        <f t="shared" si="6"/>
        <v>0</v>
      </c>
      <c r="S35" s="77">
        <f t="shared" si="2"/>
        <v>2575051</v>
      </c>
      <c r="T35" s="77">
        <v>3467810</v>
      </c>
      <c r="U35" s="76">
        <f t="shared" si="3"/>
        <v>-892759</v>
      </c>
      <c r="V35" s="73">
        <f t="shared" si="4"/>
        <v>-0.2574417283530528</v>
      </c>
      <c r="W35" s="54"/>
      <c r="X35" s="53"/>
    </row>
    <row r="36" spans="1:24" ht="12" customHeight="1">
      <c r="A36" s="78" t="s">
        <v>111</v>
      </c>
      <c r="B36" s="77">
        <f t="shared" si="5"/>
        <v>0</v>
      </c>
      <c r="C36" s="77">
        <f t="shared" si="5"/>
        <v>0</v>
      </c>
      <c r="D36" s="77">
        <f t="shared" si="5"/>
        <v>0</v>
      </c>
      <c r="E36" s="77">
        <f t="shared" si="5"/>
        <v>0</v>
      </c>
      <c r="F36" s="77">
        <f t="shared" si="5"/>
        <v>0</v>
      </c>
      <c r="G36" s="77">
        <f t="shared" si="5"/>
        <v>0</v>
      </c>
      <c r="H36" s="77">
        <f t="shared" si="5"/>
        <v>0</v>
      </c>
      <c r="I36" s="77">
        <f t="shared" si="5"/>
        <v>0</v>
      </c>
      <c r="J36" s="77">
        <f t="shared" si="5"/>
        <v>0</v>
      </c>
      <c r="K36" s="77">
        <f t="shared" si="5"/>
        <v>0</v>
      </c>
      <c r="L36" s="77">
        <f t="shared" si="6"/>
        <v>0</v>
      </c>
      <c r="M36" s="77">
        <f t="shared" si="6"/>
        <v>0</v>
      </c>
      <c r="N36" s="77">
        <f t="shared" si="6"/>
        <v>15132202</v>
      </c>
      <c r="O36" s="77">
        <f t="shared" si="6"/>
        <v>0</v>
      </c>
      <c r="P36" s="77">
        <f t="shared" si="6"/>
        <v>0</v>
      </c>
      <c r="Q36" s="77">
        <f t="shared" si="6"/>
        <v>1603832</v>
      </c>
      <c r="R36" s="77">
        <f t="shared" si="6"/>
        <v>0</v>
      </c>
      <c r="S36" s="77">
        <f t="shared" si="2"/>
        <v>16736034</v>
      </c>
      <c r="T36" s="77">
        <v>19766266</v>
      </c>
      <c r="U36" s="76">
        <f t="shared" si="3"/>
        <v>-3030232</v>
      </c>
      <c r="V36" s="73">
        <f t="shared" si="4"/>
        <v>-0.1533032086080396</v>
      </c>
      <c r="W36" s="54"/>
      <c r="X36" s="53"/>
    </row>
    <row r="37" spans="1:24" ht="12" customHeight="1">
      <c r="A37" s="78" t="s">
        <v>46</v>
      </c>
      <c r="B37" s="77">
        <f t="shared" si="5"/>
        <v>0</v>
      </c>
      <c r="C37" s="77">
        <f t="shared" si="5"/>
        <v>0</v>
      </c>
      <c r="D37" s="77">
        <f t="shared" si="5"/>
        <v>0</v>
      </c>
      <c r="E37" s="77">
        <f t="shared" si="5"/>
        <v>0</v>
      </c>
      <c r="F37" s="77">
        <f t="shared" si="5"/>
        <v>0</v>
      </c>
      <c r="G37" s="77">
        <f t="shared" si="5"/>
        <v>0</v>
      </c>
      <c r="H37" s="77">
        <f t="shared" si="5"/>
        <v>0</v>
      </c>
      <c r="I37" s="77">
        <f t="shared" si="5"/>
        <v>0</v>
      </c>
      <c r="J37" s="77">
        <f t="shared" si="5"/>
        <v>0</v>
      </c>
      <c r="K37" s="77">
        <f t="shared" si="5"/>
        <v>0</v>
      </c>
      <c r="L37" s="77">
        <f t="shared" si="6"/>
        <v>0</v>
      </c>
      <c r="M37" s="77">
        <f t="shared" si="6"/>
        <v>0</v>
      </c>
      <c r="N37" s="77">
        <f t="shared" si="6"/>
        <v>0</v>
      </c>
      <c r="O37" s="77">
        <f t="shared" si="6"/>
        <v>631500</v>
      </c>
      <c r="P37" s="77">
        <f t="shared" si="6"/>
        <v>0</v>
      </c>
      <c r="Q37" s="77">
        <f t="shared" si="6"/>
        <v>0</v>
      </c>
      <c r="R37" s="77">
        <f t="shared" si="6"/>
        <v>0</v>
      </c>
      <c r="S37" s="77">
        <f t="shared" si="2"/>
        <v>631500</v>
      </c>
      <c r="T37" s="77">
        <v>427820</v>
      </c>
      <c r="U37" s="76">
        <f t="shared" si="3"/>
        <v>203680</v>
      </c>
      <c r="V37" s="73">
        <f t="shared" si="4"/>
        <v>0.4760880744238231</v>
      </c>
      <c r="W37" s="54"/>
      <c r="X37" s="53"/>
    </row>
    <row r="38" spans="1:24" ht="12" customHeight="1">
      <c r="A38" s="78" t="s">
        <v>110</v>
      </c>
      <c r="B38" s="77">
        <f t="shared" si="5"/>
        <v>0</v>
      </c>
      <c r="C38" s="77">
        <f t="shared" si="5"/>
        <v>0</v>
      </c>
      <c r="D38" s="77">
        <f t="shared" si="5"/>
        <v>0</v>
      </c>
      <c r="E38" s="77">
        <f t="shared" si="5"/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  <c r="J38" s="77">
        <f t="shared" si="5"/>
        <v>0</v>
      </c>
      <c r="K38" s="77">
        <f t="shared" si="5"/>
        <v>0</v>
      </c>
      <c r="L38" s="77">
        <f t="shared" si="6"/>
        <v>0</v>
      </c>
      <c r="M38" s="77">
        <f t="shared" si="6"/>
        <v>0</v>
      </c>
      <c r="N38" s="77">
        <f t="shared" si="6"/>
        <v>0</v>
      </c>
      <c r="O38" s="77">
        <f t="shared" si="6"/>
        <v>0</v>
      </c>
      <c r="P38" s="77">
        <f t="shared" si="6"/>
        <v>0</v>
      </c>
      <c r="Q38" s="77">
        <f t="shared" si="6"/>
        <v>1316000</v>
      </c>
      <c r="R38" s="77">
        <f t="shared" si="6"/>
        <v>0</v>
      </c>
      <c r="S38" s="77">
        <f t="shared" si="2"/>
        <v>1316000</v>
      </c>
      <c r="T38" s="77">
        <v>2331000</v>
      </c>
      <c r="U38" s="76">
        <f t="shared" si="3"/>
        <v>-1015000</v>
      </c>
      <c r="V38" s="73">
        <f t="shared" si="4"/>
        <v>-0.43543543543543545</v>
      </c>
      <c r="W38" s="54"/>
      <c r="X38" s="53"/>
    </row>
    <row r="39" spans="1:24" ht="12" customHeight="1">
      <c r="A39" s="78" t="s">
        <v>109</v>
      </c>
      <c r="B39" s="77">
        <f t="shared" si="5"/>
        <v>0</v>
      </c>
      <c r="C39" s="77">
        <f t="shared" si="5"/>
        <v>0</v>
      </c>
      <c r="D39" s="77">
        <f t="shared" si="5"/>
        <v>0</v>
      </c>
      <c r="E39" s="77">
        <f t="shared" si="5"/>
        <v>0</v>
      </c>
      <c r="F39" s="77">
        <f t="shared" si="5"/>
        <v>0</v>
      </c>
      <c r="G39" s="77">
        <f t="shared" si="5"/>
        <v>0</v>
      </c>
      <c r="H39" s="77">
        <f t="shared" si="5"/>
        <v>0</v>
      </c>
      <c r="I39" s="77">
        <f t="shared" si="5"/>
        <v>0</v>
      </c>
      <c r="J39" s="77">
        <f t="shared" si="5"/>
        <v>0</v>
      </c>
      <c r="K39" s="77">
        <f t="shared" si="5"/>
        <v>0</v>
      </c>
      <c r="L39" s="77">
        <f t="shared" si="6"/>
        <v>0</v>
      </c>
      <c r="M39" s="77">
        <f t="shared" si="6"/>
        <v>0</v>
      </c>
      <c r="N39" s="77">
        <f t="shared" si="6"/>
        <v>0</v>
      </c>
      <c r="O39" s="77">
        <f t="shared" si="6"/>
        <v>0</v>
      </c>
      <c r="P39" s="77">
        <f t="shared" si="6"/>
        <v>0</v>
      </c>
      <c r="Q39" s="77">
        <f t="shared" si="6"/>
        <v>1270500</v>
      </c>
      <c r="R39" s="77">
        <f t="shared" si="6"/>
        <v>0</v>
      </c>
      <c r="S39" s="77">
        <f t="shared" si="2"/>
        <v>1270500</v>
      </c>
      <c r="T39" s="77">
        <v>970000</v>
      </c>
      <c r="U39" s="76">
        <f t="shared" si="3"/>
        <v>300500</v>
      </c>
      <c r="V39" s="73">
        <f t="shared" si="4"/>
        <v>0.3097938144329897</v>
      </c>
      <c r="W39" s="54"/>
      <c r="X39" s="53"/>
    </row>
    <row r="40" spans="1:24" ht="12" customHeight="1">
      <c r="A40" s="78" t="s">
        <v>108</v>
      </c>
      <c r="B40" s="77">
        <f t="shared" si="5"/>
        <v>0</v>
      </c>
      <c r="C40" s="77">
        <f t="shared" si="5"/>
        <v>0</v>
      </c>
      <c r="D40" s="77">
        <f t="shared" si="5"/>
        <v>0</v>
      </c>
      <c r="E40" s="77">
        <f t="shared" si="5"/>
        <v>0</v>
      </c>
      <c r="F40" s="77">
        <f t="shared" si="5"/>
        <v>0</v>
      </c>
      <c r="G40" s="77">
        <f t="shared" si="5"/>
        <v>0</v>
      </c>
      <c r="H40" s="77">
        <f t="shared" si="5"/>
        <v>0</v>
      </c>
      <c r="I40" s="77">
        <f t="shared" si="5"/>
        <v>0</v>
      </c>
      <c r="J40" s="77">
        <f t="shared" si="5"/>
        <v>0</v>
      </c>
      <c r="K40" s="77">
        <f t="shared" si="5"/>
        <v>0</v>
      </c>
      <c r="L40" s="77">
        <f t="shared" si="6"/>
        <v>0</v>
      </c>
      <c r="M40" s="77">
        <f t="shared" si="6"/>
        <v>0</v>
      </c>
      <c r="N40" s="77">
        <f t="shared" si="6"/>
        <v>0</v>
      </c>
      <c r="O40" s="77">
        <f t="shared" si="6"/>
        <v>0</v>
      </c>
      <c r="P40" s="77">
        <f t="shared" si="6"/>
        <v>0</v>
      </c>
      <c r="Q40" s="77">
        <f t="shared" si="6"/>
        <v>7544999</v>
      </c>
      <c r="R40" s="77">
        <f t="shared" si="6"/>
        <v>0</v>
      </c>
      <c r="S40" s="77">
        <f t="shared" si="2"/>
        <v>7544999</v>
      </c>
      <c r="T40" s="77">
        <v>12940000</v>
      </c>
      <c r="U40" s="76">
        <f t="shared" si="3"/>
        <v>-5395001</v>
      </c>
      <c r="V40" s="73">
        <f t="shared" si="4"/>
        <v>-0.416924343122102</v>
      </c>
      <c r="W40" s="54"/>
      <c r="X40" s="53"/>
    </row>
    <row r="41" spans="1:24" ht="12" customHeight="1">
      <c r="A41" s="78" t="s">
        <v>107</v>
      </c>
      <c r="B41" s="77">
        <f t="shared" si="5"/>
        <v>0</v>
      </c>
      <c r="C41" s="77">
        <f t="shared" si="5"/>
        <v>0</v>
      </c>
      <c r="D41" s="77">
        <f t="shared" si="5"/>
        <v>0</v>
      </c>
      <c r="E41" s="77">
        <f t="shared" si="5"/>
        <v>0</v>
      </c>
      <c r="F41" s="77">
        <f t="shared" si="5"/>
        <v>0</v>
      </c>
      <c r="G41" s="77">
        <f t="shared" si="5"/>
        <v>0</v>
      </c>
      <c r="H41" s="77">
        <f t="shared" si="5"/>
        <v>0</v>
      </c>
      <c r="I41" s="77">
        <f t="shared" si="5"/>
        <v>0</v>
      </c>
      <c r="J41" s="77">
        <f t="shared" si="5"/>
        <v>0</v>
      </c>
      <c r="K41" s="77">
        <f t="shared" si="5"/>
        <v>0</v>
      </c>
      <c r="L41" s="77">
        <f t="shared" si="6"/>
        <v>0</v>
      </c>
      <c r="M41" s="77">
        <f t="shared" si="6"/>
        <v>0</v>
      </c>
      <c r="N41" s="77">
        <f t="shared" si="6"/>
        <v>0</v>
      </c>
      <c r="O41" s="77">
        <f t="shared" si="6"/>
        <v>0</v>
      </c>
      <c r="P41" s="77">
        <f t="shared" si="6"/>
        <v>0</v>
      </c>
      <c r="Q41" s="77">
        <f t="shared" si="6"/>
        <v>4170000</v>
      </c>
      <c r="R41" s="77">
        <f t="shared" si="6"/>
        <v>0</v>
      </c>
      <c r="S41" s="77">
        <f t="shared" si="2"/>
        <v>4170000</v>
      </c>
      <c r="T41" s="77">
        <v>3115000</v>
      </c>
      <c r="U41" s="76">
        <f t="shared" si="3"/>
        <v>1055000</v>
      </c>
      <c r="V41" s="73">
        <f t="shared" si="4"/>
        <v>0.33868378812199035</v>
      </c>
      <c r="W41" s="54"/>
      <c r="X41" s="53"/>
    </row>
    <row r="42" spans="1:24" ht="12" customHeight="1">
      <c r="A42" s="78" t="s">
        <v>47</v>
      </c>
      <c r="B42" s="77">
        <f t="shared" si="5"/>
        <v>0</v>
      </c>
      <c r="C42" s="77">
        <f t="shared" si="5"/>
        <v>0</v>
      </c>
      <c r="D42" s="77">
        <f t="shared" si="5"/>
        <v>0</v>
      </c>
      <c r="E42" s="77">
        <f t="shared" si="5"/>
        <v>0</v>
      </c>
      <c r="F42" s="77">
        <f t="shared" si="5"/>
        <v>0</v>
      </c>
      <c r="G42" s="77">
        <f t="shared" si="5"/>
        <v>0</v>
      </c>
      <c r="H42" s="77">
        <f t="shared" si="5"/>
        <v>0</v>
      </c>
      <c r="I42" s="77">
        <f t="shared" si="5"/>
        <v>0</v>
      </c>
      <c r="J42" s="77">
        <f t="shared" si="5"/>
        <v>0</v>
      </c>
      <c r="K42" s="77">
        <f t="shared" si="5"/>
        <v>0</v>
      </c>
      <c r="L42" s="77">
        <f t="shared" si="6"/>
        <v>0</v>
      </c>
      <c r="M42" s="77">
        <f t="shared" si="6"/>
        <v>163595</v>
      </c>
      <c r="N42" s="77">
        <f t="shared" si="6"/>
        <v>0</v>
      </c>
      <c r="O42" s="77">
        <f t="shared" si="6"/>
        <v>259556</v>
      </c>
      <c r="P42" s="77">
        <f t="shared" si="6"/>
        <v>0</v>
      </c>
      <c r="Q42" s="77">
        <f t="shared" si="6"/>
        <v>0</v>
      </c>
      <c r="R42" s="77">
        <f t="shared" si="6"/>
        <v>0</v>
      </c>
      <c r="S42" s="77">
        <f t="shared" si="2"/>
        <v>423151</v>
      </c>
      <c r="T42" s="77">
        <v>509151</v>
      </c>
      <c r="U42" s="76">
        <f t="shared" si="3"/>
        <v>-86000</v>
      </c>
      <c r="V42" s="73">
        <f t="shared" si="4"/>
        <v>-0.1689086341772873</v>
      </c>
      <c r="W42" s="54"/>
      <c r="X42" s="53"/>
    </row>
    <row r="43" spans="1:24" ht="12" customHeight="1">
      <c r="A43" s="78" t="s">
        <v>48</v>
      </c>
      <c r="B43" s="77">
        <f t="shared" si="5"/>
        <v>0</v>
      </c>
      <c r="C43" s="77">
        <f t="shared" si="5"/>
        <v>0</v>
      </c>
      <c r="D43" s="77">
        <f t="shared" si="5"/>
        <v>0</v>
      </c>
      <c r="E43" s="77">
        <f t="shared" si="5"/>
        <v>0</v>
      </c>
      <c r="F43" s="77">
        <f t="shared" si="5"/>
        <v>0</v>
      </c>
      <c r="G43" s="77">
        <f t="shared" si="5"/>
        <v>0</v>
      </c>
      <c r="H43" s="77">
        <f t="shared" si="5"/>
        <v>0</v>
      </c>
      <c r="I43" s="77">
        <f t="shared" si="5"/>
        <v>0</v>
      </c>
      <c r="J43" s="77">
        <f t="shared" si="5"/>
        <v>0</v>
      </c>
      <c r="K43" s="77">
        <f t="shared" si="5"/>
        <v>0</v>
      </c>
      <c r="L43" s="77">
        <f t="shared" si="6"/>
        <v>0</v>
      </c>
      <c r="M43" s="77">
        <f t="shared" si="6"/>
        <v>55822</v>
      </c>
      <c r="N43" s="77">
        <f t="shared" si="6"/>
        <v>0</v>
      </c>
      <c r="O43" s="77">
        <f t="shared" si="6"/>
        <v>90350</v>
      </c>
      <c r="P43" s="77">
        <f t="shared" si="6"/>
        <v>0</v>
      </c>
      <c r="Q43" s="77">
        <f t="shared" si="6"/>
        <v>0</v>
      </c>
      <c r="R43" s="77">
        <f t="shared" si="6"/>
        <v>0</v>
      </c>
      <c r="S43" s="77">
        <f t="shared" si="2"/>
        <v>146172</v>
      </c>
      <c r="T43" s="77">
        <v>280650</v>
      </c>
      <c r="U43" s="76">
        <f t="shared" si="3"/>
        <v>-134478</v>
      </c>
      <c r="V43" s="73">
        <f t="shared" si="4"/>
        <v>-0.47916622127204705</v>
      </c>
      <c r="W43" s="54"/>
      <c r="X43" s="53"/>
    </row>
    <row r="44" spans="1:24" ht="12" customHeight="1">
      <c r="A44" s="78" t="s">
        <v>73</v>
      </c>
      <c r="B44" s="77">
        <f aca="true" t="shared" si="7" ref="B44:Q59">SUMIF($A$97:$A$225,$A$12:$A$90,B$97:B$225)</f>
        <v>0</v>
      </c>
      <c r="C44" s="77">
        <f t="shared" si="7"/>
        <v>0</v>
      </c>
      <c r="D44" s="77">
        <f t="shared" si="7"/>
        <v>0</v>
      </c>
      <c r="E44" s="77">
        <f t="shared" si="7"/>
        <v>0</v>
      </c>
      <c r="F44" s="77">
        <f t="shared" si="7"/>
        <v>0</v>
      </c>
      <c r="G44" s="77">
        <f t="shared" si="7"/>
        <v>0</v>
      </c>
      <c r="H44" s="77">
        <f t="shared" si="7"/>
        <v>0</v>
      </c>
      <c r="I44" s="77">
        <f t="shared" si="7"/>
        <v>0</v>
      </c>
      <c r="J44" s="77">
        <f t="shared" si="7"/>
        <v>0</v>
      </c>
      <c r="K44" s="77">
        <f t="shared" si="7"/>
        <v>0</v>
      </c>
      <c r="L44" s="77">
        <f t="shared" si="7"/>
        <v>0</v>
      </c>
      <c r="M44" s="77">
        <f t="shared" si="7"/>
        <v>0</v>
      </c>
      <c r="N44" s="77">
        <f t="shared" si="7"/>
        <v>0</v>
      </c>
      <c r="O44" s="77">
        <f t="shared" si="7"/>
        <v>0</v>
      </c>
      <c r="P44" s="77">
        <f t="shared" si="7"/>
        <v>0</v>
      </c>
      <c r="Q44" s="77">
        <f t="shared" si="7"/>
        <v>0</v>
      </c>
      <c r="R44" s="77">
        <f aca="true" t="shared" si="8" ref="L44:R59">SUMIF($A$97:$A$225,$A$12:$A$90,R$97:R$225)</f>
        <v>2562211</v>
      </c>
      <c r="S44" s="77">
        <f t="shared" si="2"/>
        <v>2562211</v>
      </c>
      <c r="T44" s="77">
        <v>1924172</v>
      </c>
      <c r="U44" s="76">
        <f t="shared" si="3"/>
        <v>638039</v>
      </c>
      <c r="V44" s="73">
        <f t="shared" si="4"/>
        <v>0.3315914585598377</v>
      </c>
      <c r="W44" s="54"/>
      <c r="X44" s="53"/>
    </row>
    <row r="45" spans="1:24" ht="12" customHeight="1">
      <c r="A45" s="78" t="s">
        <v>58</v>
      </c>
      <c r="B45" s="77">
        <f t="shared" si="7"/>
        <v>0</v>
      </c>
      <c r="C45" s="77">
        <f t="shared" si="7"/>
        <v>0</v>
      </c>
      <c r="D45" s="77">
        <f t="shared" si="7"/>
        <v>0</v>
      </c>
      <c r="E45" s="77">
        <f t="shared" si="7"/>
        <v>0</v>
      </c>
      <c r="F45" s="77">
        <f t="shared" si="7"/>
        <v>0</v>
      </c>
      <c r="G45" s="77">
        <f t="shared" si="7"/>
        <v>0</v>
      </c>
      <c r="H45" s="77">
        <f t="shared" si="7"/>
        <v>100</v>
      </c>
      <c r="I45" s="77">
        <f t="shared" si="7"/>
        <v>0</v>
      </c>
      <c r="J45" s="77">
        <f t="shared" si="7"/>
        <v>0</v>
      </c>
      <c r="K45" s="77">
        <f t="shared" si="7"/>
        <v>0</v>
      </c>
      <c r="L45" s="77">
        <f t="shared" si="8"/>
        <v>0</v>
      </c>
      <c r="M45" s="77">
        <f t="shared" si="8"/>
        <v>13278751</v>
      </c>
      <c r="N45" s="77">
        <f t="shared" si="8"/>
        <v>0</v>
      </c>
      <c r="O45" s="77">
        <f t="shared" si="8"/>
        <v>0</v>
      </c>
      <c r="P45" s="77">
        <f t="shared" si="8"/>
        <v>0</v>
      </c>
      <c r="Q45" s="77">
        <f t="shared" si="8"/>
        <v>0</v>
      </c>
      <c r="R45" s="77">
        <f t="shared" si="8"/>
        <v>0</v>
      </c>
      <c r="S45" s="77">
        <f t="shared" si="2"/>
        <v>13278851</v>
      </c>
      <c r="T45" s="77">
        <v>12096177</v>
      </c>
      <c r="U45" s="76">
        <f t="shared" si="3"/>
        <v>1182674</v>
      </c>
      <c r="V45" s="73">
        <f t="shared" si="4"/>
        <v>0.09777254416829384</v>
      </c>
      <c r="W45" s="54"/>
      <c r="X45" s="53"/>
    </row>
    <row r="46" spans="1:24" ht="12" customHeight="1">
      <c r="A46" s="78" t="s">
        <v>59</v>
      </c>
      <c r="B46" s="77">
        <f t="shared" si="7"/>
        <v>0</v>
      </c>
      <c r="C46" s="77">
        <f t="shared" si="7"/>
        <v>0</v>
      </c>
      <c r="D46" s="77">
        <f t="shared" si="7"/>
        <v>0</v>
      </c>
      <c r="E46" s="77">
        <f t="shared" si="7"/>
        <v>0</v>
      </c>
      <c r="F46" s="77">
        <f t="shared" si="7"/>
        <v>0</v>
      </c>
      <c r="G46" s="77">
        <f t="shared" si="7"/>
        <v>0</v>
      </c>
      <c r="H46" s="77">
        <f t="shared" si="7"/>
        <v>0</v>
      </c>
      <c r="I46" s="77">
        <f t="shared" si="7"/>
        <v>0</v>
      </c>
      <c r="J46" s="77">
        <f t="shared" si="7"/>
        <v>0</v>
      </c>
      <c r="K46" s="77">
        <f t="shared" si="7"/>
        <v>0</v>
      </c>
      <c r="L46" s="77">
        <f t="shared" si="8"/>
        <v>0</v>
      </c>
      <c r="M46" s="77">
        <f t="shared" si="8"/>
        <v>0</v>
      </c>
      <c r="N46" s="77">
        <f t="shared" si="8"/>
        <v>1385586</v>
      </c>
      <c r="O46" s="77">
        <f t="shared" si="8"/>
        <v>0</v>
      </c>
      <c r="P46" s="77">
        <f t="shared" si="8"/>
        <v>0</v>
      </c>
      <c r="Q46" s="77">
        <f t="shared" si="8"/>
        <v>0</v>
      </c>
      <c r="R46" s="77">
        <f t="shared" si="8"/>
        <v>0</v>
      </c>
      <c r="S46" s="77">
        <f t="shared" si="2"/>
        <v>1385586</v>
      </c>
      <c r="T46" s="77">
        <v>1364758</v>
      </c>
      <c r="U46" s="76">
        <f t="shared" si="3"/>
        <v>20828</v>
      </c>
      <c r="V46" s="73">
        <f t="shared" si="4"/>
        <v>0.01526131372741541</v>
      </c>
      <c r="W46" s="54"/>
      <c r="X46" s="53"/>
    </row>
    <row r="47" spans="1:24" ht="12" customHeight="1">
      <c r="A47" s="78" t="s">
        <v>65</v>
      </c>
      <c r="B47" s="77">
        <f t="shared" si="7"/>
        <v>0</v>
      </c>
      <c r="C47" s="77">
        <f t="shared" si="7"/>
        <v>0</v>
      </c>
      <c r="D47" s="77">
        <f t="shared" si="7"/>
        <v>0</v>
      </c>
      <c r="E47" s="77">
        <v>0</v>
      </c>
      <c r="F47" s="77">
        <f t="shared" si="7"/>
        <v>0</v>
      </c>
      <c r="G47" s="77">
        <f t="shared" si="7"/>
        <v>0</v>
      </c>
      <c r="H47" s="77">
        <v>0</v>
      </c>
      <c r="I47" s="77">
        <f t="shared" si="7"/>
        <v>0</v>
      </c>
      <c r="J47" s="77">
        <f t="shared" si="7"/>
        <v>47958</v>
      </c>
      <c r="K47" s="77">
        <f t="shared" si="7"/>
        <v>0</v>
      </c>
      <c r="L47" s="77">
        <f t="shared" si="7"/>
        <v>0</v>
      </c>
      <c r="M47" s="77">
        <v>0</v>
      </c>
      <c r="N47" s="77">
        <f t="shared" si="8"/>
        <v>0</v>
      </c>
      <c r="O47" s="77">
        <v>0</v>
      </c>
      <c r="P47" s="77">
        <f t="shared" si="8"/>
        <v>0</v>
      </c>
      <c r="Q47" s="77">
        <f t="shared" si="8"/>
        <v>0</v>
      </c>
      <c r="R47" s="77">
        <f t="shared" si="8"/>
        <v>0</v>
      </c>
      <c r="S47" s="77">
        <f t="shared" si="2"/>
        <v>47958</v>
      </c>
      <c r="T47" s="77">
        <v>40416</v>
      </c>
      <c r="U47" s="76">
        <f t="shared" si="3"/>
        <v>7542</v>
      </c>
      <c r="V47" s="73">
        <f t="shared" si="4"/>
        <v>0.18660926365795724</v>
      </c>
      <c r="W47" s="54"/>
      <c r="X47" s="53"/>
    </row>
    <row r="48" spans="1:24" ht="12" customHeight="1">
      <c r="A48" s="78" t="s">
        <v>42</v>
      </c>
      <c r="B48" s="77">
        <f t="shared" si="7"/>
        <v>0</v>
      </c>
      <c r="C48" s="77">
        <f t="shared" si="7"/>
        <v>0</v>
      </c>
      <c r="D48" s="77">
        <f t="shared" si="7"/>
        <v>0</v>
      </c>
      <c r="E48" s="77">
        <f>SUMIF($A$97:$A$225,$A$12:$A$90,E$97:E$225)</f>
        <v>0</v>
      </c>
      <c r="F48" s="77">
        <f t="shared" si="7"/>
        <v>0</v>
      </c>
      <c r="G48" s="77">
        <f t="shared" si="7"/>
        <v>157820</v>
      </c>
      <c r="H48" s="77">
        <f>SUMIF($A$97:$A$225,$A$12:$A$90,H$97:H$225)</f>
        <v>0</v>
      </c>
      <c r="I48" s="77">
        <f t="shared" si="7"/>
        <v>0</v>
      </c>
      <c r="J48" s="77">
        <f t="shared" si="7"/>
        <v>0</v>
      </c>
      <c r="K48" s="77">
        <f t="shared" si="7"/>
        <v>0</v>
      </c>
      <c r="L48" s="77">
        <f t="shared" si="7"/>
        <v>0</v>
      </c>
      <c r="M48" s="77">
        <f>SUMIF($A$97:$A$225,$A$12:$A$90,M$97:M$225)</f>
        <v>0</v>
      </c>
      <c r="N48" s="77">
        <f t="shared" si="8"/>
        <v>0</v>
      </c>
      <c r="O48" s="77">
        <f>SUMIF($A$97:$A$225,$A$12:$A$90,O$97:O$225)</f>
        <v>0</v>
      </c>
      <c r="P48" s="77">
        <f t="shared" si="8"/>
        <v>0</v>
      </c>
      <c r="Q48" s="77">
        <f t="shared" si="8"/>
        <v>0</v>
      </c>
      <c r="R48" s="77">
        <f t="shared" si="8"/>
        <v>0</v>
      </c>
      <c r="S48" s="77">
        <f t="shared" si="2"/>
        <v>157820</v>
      </c>
      <c r="T48" s="77">
        <v>157820</v>
      </c>
      <c r="U48" s="76">
        <f t="shared" si="3"/>
        <v>0</v>
      </c>
      <c r="V48" s="73">
        <f t="shared" si="4"/>
        <v>0</v>
      </c>
      <c r="W48" s="54"/>
      <c r="X48" s="53"/>
    </row>
    <row r="49" spans="1:24" ht="12" customHeight="1">
      <c r="A49" s="78" t="s">
        <v>66</v>
      </c>
      <c r="B49" s="77">
        <f t="shared" si="7"/>
        <v>0</v>
      </c>
      <c r="C49" s="77">
        <f t="shared" si="7"/>
        <v>0</v>
      </c>
      <c r="D49" s="77">
        <f t="shared" si="7"/>
        <v>0</v>
      </c>
      <c r="E49" s="77">
        <v>0</v>
      </c>
      <c r="F49" s="77">
        <f t="shared" si="7"/>
        <v>0</v>
      </c>
      <c r="G49" s="77">
        <f t="shared" si="7"/>
        <v>0</v>
      </c>
      <c r="H49" s="77">
        <v>0</v>
      </c>
      <c r="I49" s="77">
        <f t="shared" si="7"/>
        <v>0</v>
      </c>
      <c r="J49" s="77">
        <f t="shared" si="7"/>
        <v>0</v>
      </c>
      <c r="K49" s="77">
        <f t="shared" si="7"/>
        <v>1676601</v>
      </c>
      <c r="L49" s="77">
        <f t="shared" si="7"/>
        <v>0</v>
      </c>
      <c r="M49" s="77">
        <v>0</v>
      </c>
      <c r="N49" s="77">
        <f t="shared" si="8"/>
        <v>0</v>
      </c>
      <c r="O49" s="77">
        <v>0</v>
      </c>
      <c r="P49" s="77">
        <f t="shared" si="8"/>
        <v>0</v>
      </c>
      <c r="Q49" s="77">
        <f t="shared" si="8"/>
        <v>0</v>
      </c>
      <c r="R49" s="77">
        <f t="shared" si="8"/>
        <v>0</v>
      </c>
      <c r="S49" s="77">
        <f t="shared" si="2"/>
        <v>1676601</v>
      </c>
      <c r="T49" s="77">
        <v>1676601</v>
      </c>
      <c r="U49" s="76">
        <f t="shared" si="3"/>
        <v>0</v>
      </c>
      <c r="V49" s="73">
        <f t="shared" si="4"/>
        <v>0</v>
      </c>
      <c r="W49" s="54"/>
      <c r="X49" s="53"/>
    </row>
    <row r="50" spans="1:24" ht="12" customHeight="1">
      <c r="A50" s="78" t="s">
        <v>67</v>
      </c>
      <c r="B50" s="77">
        <f t="shared" si="7"/>
        <v>0</v>
      </c>
      <c r="C50" s="77">
        <f t="shared" si="7"/>
        <v>0</v>
      </c>
      <c r="D50" s="77">
        <f t="shared" si="7"/>
        <v>0</v>
      </c>
      <c r="E50" s="77">
        <f t="shared" si="7"/>
        <v>0</v>
      </c>
      <c r="F50" s="77">
        <f t="shared" si="7"/>
        <v>0</v>
      </c>
      <c r="G50" s="77">
        <f t="shared" si="7"/>
        <v>0</v>
      </c>
      <c r="H50" s="77">
        <f t="shared" si="7"/>
        <v>0</v>
      </c>
      <c r="I50" s="77">
        <f t="shared" si="7"/>
        <v>0</v>
      </c>
      <c r="J50" s="77">
        <f t="shared" si="7"/>
        <v>0</v>
      </c>
      <c r="K50" s="77">
        <f t="shared" si="7"/>
        <v>1269697</v>
      </c>
      <c r="L50" s="77">
        <f t="shared" si="7"/>
        <v>0</v>
      </c>
      <c r="M50" s="77">
        <f t="shared" si="7"/>
        <v>0</v>
      </c>
      <c r="N50" s="77">
        <f t="shared" si="8"/>
        <v>0</v>
      </c>
      <c r="O50" s="77">
        <f t="shared" si="8"/>
        <v>0</v>
      </c>
      <c r="P50" s="77">
        <f t="shared" si="8"/>
        <v>0</v>
      </c>
      <c r="Q50" s="77">
        <f t="shared" si="8"/>
        <v>0</v>
      </c>
      <c r="R50" s="77">
        <f t="shared" si="8"/>
        <v>0</v>
      </c>
      <c r="S50" s="77">
        <f t="shared" si="2"/>
        <v>1269697</v>
      </c>
      <c r="T50" s="77">
        <v>1269697</v>
      </c>
      <c r="U50" s="76">
        <f t="shared" si="3"/>
        <v>0</v>
      </c>
      <c r="V50" s="73">
        <f t="shared" si="4"/>
        <v>0</v>
      </c>
      <c r="W50" s="54"/>
      <c r="X50" s="53"/>
    </row>
    <row r="51" spans="1:24" ht="12" customHeight="1">
      <c r="A51" s="78" t="s">
        <v>68</v>
      </c>
      <c r="B51" s="77">
        <f t="shared" si="7"/>
        <v>280</v>
      </c>
      <c r="C51" s="77">
        <f t="shared" si="7"/>
        <v>15246</v>
      </c>
      <c r="D51" s="77">
        <f t="shared" si="7"/>
        <v>0</v>
      </c>
      <c r="E51" s="77">
        <f t="shared" si="7"/>
        <v>0</v>
      </c>
      <c r="F51" s="77">
        <f t="shared" si="7"/>
        <v>0</v>
      </c>
      <c r="G51" s="77">
        <f t="shared" si="7"/>
        <v>81057</v>
      </c>
      <c r="H51" s="77">
        <f t="shared" si="7"/>
        <v>0</v>
      </c>
      <c r="I51" s="77">
        <f t="shared" si="7"/>
        <v>0</v>
      </c>
      <c r="J51" s="77">
        <f t="shared" si="7"/>
        <v>69488</v>
      </c>
      <c r="K51" s="77">
        <f t="shared" si="7"/>
        <v>2021966</v>
      </c>
      <c r="L51" s="77">
        <f t="shared" si="7"/>
        <v>0</v>
      </c>
      <c r="M51" s="77">
        <f t="shared" si="7"/>
        <v>0</v>
      </c>
      <c r="N51" s="77">
        <f t="shared" si="8"/>
        <v>0</v>
      </c>
      <c r="O51" s="77">
        <f t="shared" si="8"/>
        <v>0</v>
      </c>
      <c r="P51" s="77">
        <f t="shared" si="8"/>
        <v>0</v>
      </c>
      <c r="Q51" s="77">
        <f t="shared" si="8"/>
        <v>0</v>
      </c>
      <c r="R51" s="77">
        <f t="shared" si="8"/>
        <v>7636</v>
      </c>
      <c r="S51" s="77">
        <f t="shared" si="2"/>
        <v>2195673</v>
      </c>
      <c r="T51" s="77">
        <v>1892180</v>
      </c>
      <c r="U51" s="76">
        <f t="shared" si="3"/>
        <v>303493</v>
      </c>
      <c r="V51" s="73">
        <f t="shared" si="4"/>
        <v>0.16039330296272025</v>
      </c>
      <c r="W51" s="54"/>
      <c r="X51" s="53"/>
    </row>
    <row r="52" spans="1:24" ht="12" customHeight="1">
      <c r="A52" s="78" t="s">
        <v>74</v>
      </c>
      <c r="B52" s="77">
        <f t="shared" si="7"/>
        <v>0</v>
      </c>
      <c r="C52" s="77">
        <f t="shared" si="7"/>
        <v>0</v>
      </c>
      <c r="D52" s="77">
        <f t="shared" si="7"/>
        <v>0</v>
      </c>
      <c r="E52" s="77">
        <f t="shared" si="7"/>
        <v>0</v>
      </c>
      <c r="F52" s="77">
        <f t="shared" si="7"/>
        <v>0</v>
      </c>
      <c r="G52" s="77">
        <f t="shared" si="7"/>
        <v>0</v>
      </c>
      <c r="H52" s="77">
        <f t="shared" si="7"/>
        <v>0</v>
      </c>
      <c r="I52" s="77">
        <f t="shared" si="7"/>
        <v>0</v>
      </c>
      <c r="J52" s="77">
        <f t="shared" si="7"/>
        <v>0</v>
      </c>
      <c r="K52" s="77">
        <f t="shared" si="7"/>
        <v>1752</v>
      </c>
      <c r="L52" s="77">
        <f t="shared" si="7"/>
        <v>0</v>
      </c>
      <c r="M52" s="77">
        <f t="shared" si="7"/>
        <v>0</v>
      </c>
      <c r="N52" s="77">
        <f t="shared" si="8"/>
        <v>0</v>
      </c>
      <c r="O52" s="77">
        <f t="shared" si="8"/>
        <v>0</v>
      </c>
      <c r="P52" s="77">
        <f t="shared" si="8"/>
        <v>0</v>
      </c>
      <c r="Q52" s="77">
        <f t="shared" si="8"/>
        <v>0</v>
      </c>
      <c r="R52" s="77">
        <f t="shared" si="8"/>
        <v>0</v>
      </c>
      <c r="S52" s="77">
        <f t="shared" si="2"/>
        <v>1752</v>
      </c>
      <c r="T52" s="77">
        <v>1752</v>
      </c>
      <c r="U52" s="76">
        <f t="shared" si="3"/>
        <v>0</v>
      </c>
      <c r="V52" s="73">
        <f t="shared" si="4"/>
        <v>0</v>
      </c>
      <c r="W52" s="54"/>
      <c r="X52" s="53"/>
    </row>
    <row r="53" spans="1:24" ht="12" customHeight="1">
      <c r="A53" s="78" t="s">
        <v>69</v>
      </c>
      <c r="B53" s="77">
        <f t="shared" si="7"/>
        <v>4000</v>
      </c>
      <c r="C53" s="77">
        <f t="shared" si="7"/>
        <v>0</v>
      </c>
      <c r="D53" s="77">
        <f t="shared" si="7"/>
        <v>0</v>
      </c>
      <c r="E53" s="77">
        <f t="shared" si="7"/>
        <v>0</v>
      </c>
      <c r="F53" s="77">
        <f t="shared" si="7"/>
        <v>0</v>
      </c>
      <c r="G53" s="77">
        <f t="shared" si="7"/>
        <v>0</v>
      </c>
      <c r="H53" s="77">
        <f t="shared" si="7"/>
        <v>0</v>
      </c>
      <c r="I53" s="77">
        <f t="shared" si="7"/>
        <v>0</v>
      </c>
      <c r="J53" s="77">
        <f t="shared" si="7"/>
        <v>1122</v>
      </c>
      <c r="K53" s="77">
        <f t="shared" si="7"/>
        <v>8177</v>
      </c>
      <c r="L53" s="77">
        <f t="shared" si="7"/>
        <v>0</v>
      </c>
      <c r="M53" s="77">
        <f t="shared" si="7"/>
        <v>0</v>
      </c>
      <c r="N53" s="77">
        <f t="shared" si="8"/>
        <v>0</v>
      </c>
      <c r="O53" s="77">
        <f t="shared" si="8"/>
        <v>0</v>
      </c>
      <c r="P53" s="77">
        <f t="shared" si="8"/>
        <v>0</v>
      </c>
      <c r="Q53" s="77">
        <f t="shared" si="8"/>
        <v>0</v>
      </c>
      <c r="R53" s="77">
        <f t="shared" si="8"/>
        <v>0</v>
      </c>
      <c r="S53" s="77">
        <f t="shared" si="2"/>
        <v>13299</v>
      </c>
      <c r="T53" s="77">
        <v>9299</v>
      </c>
      <c r="U53" s="76">
        <f t="shared" si="3"/>
        <v>4000</v>
      </c>
      <c r="V53" s="73">
        <f t="shared" si="4"/>
        <v>0.4301537799763415</v>
      </c>
      <c r="W53" s="54"/>
      <c r="X53" s="53"/>
    </row>
    <row r="54" spans="1:24" ht="12" customHeight="1">
      <c r="A54" s="78" t="s">
        <v>70</v>
      </c>
      <c r="B54" s="77">
        <f t="shared" si="7"/>
        <v>0</v>
      </c>
      <c r="C54" s="77">
        <f t="shared" si="7"/>
        <v>0</v>
      </c>
      <c r="D54" s="77">
        <f t="shared" si="7"/>
        <v>0</v>
      </c>
      <c r="E54" s="77">
        <f t="shared" si="7"/>
        <v>0</v>
      </c>
      <c r="F54" s="77">
        <f t="shared" si="7"/>
        <v>0</v>
      </c>
      <c r="G54" s="77">
        <f t="shared" si="7"/>
        <v>0</v>
      </c>
      <c r="H54" s="77">
        <f t="shared" si="7"/>
        <v>0</v>
      </c>
      <c r="I54" s="77">
        <f t="shared" si="7"/>
        <v>0</v>
      </c>
      <c r="J54" s="77">
        <f t="shared" si="7"/>
        <v>0</v>
      </c>
      <c r="K54" s="77">
        <f t="shared" si="7"/>
        <v>91960</v>
      </c>
      <c r="L54" s="77">
        <f t="shared" si="7"/>
        <v>0</v>
      </c>
      <c r="M54" s="77">
        <f t="shared" si="7"/>
        <v>0</v>
      </c>
      <c r="N54" s="77">
        <f t="shared" si="8"/>
        <v>0</v>
      </c>
      <c r="O54" s="77">
        <f t="shared" si="8"/>
        <v>0</v>
      </c>
      <c r="P54" s="77">
        <f t="shared" si="8"/>
        <v>0</v>
      </c>
      <c r="Q54" s="77">
        <f t="shared" si="8"/>
        <v>0</v>
      </c>
      <c r="R54" s="77">
        <f t="shared" si="8"/>
        <v>0</v>
      </c>
      <c r="S54" s="77">
        <f t="shared" si="2"/>
        <v>91960</v>
      </c>
      <c r="T54" s="77">
        <v>91960</v>
      </c>
      <c r="U54" s="76">
        <f t="shared" si="3"/>
        <v>0</v>
      </c>
      <c r="V54" s="73">
        <f t="shared" si="4"/>
        <v>0</v>
      </c>
      <c r="W54" s="54"/>
      <c r="X54" s="53"/>
    </row>
    <row r="55" spans="1:24" ht="12" customHeight="1">
      <c r="A55" s="78" t="s">
        <v>75</v>
      </c>
      <c r="B55" s="77">
        <f t="shared" si="7"/>
        <v>14776</v>
      </c>
      <c r="C55" s="77">
        <f t="shared" si="7"/>
        <v>14760</v>
      </c>
      <c r="D55" s="77">
        <f t="shared" si="7"/>
        <v>15430</v>
      </c>
      <c r="E55" s="77">
        <f t="shared" si="7"/>
        <v>11578</v>
      </c>
      <c r="F55" s="77">
        <f t="shared" si="7"/>
        <v>0</v>
      </c>
      <c r="G55" s="77">
        <f t="shared" si="7"/>
        <v>6371</v>
      </c>
      <c r="H55" s="77">
        <f t="shared" si="7"/>
        <v>5000</v>
      </c>
      <c r="I55" s="77">
        <f t="shared" si="7"/>
        <v>12869</v>
      </c>
      <c r="J55" s="77">
        <f t="shared" si="7"/>
        <v>20670</v>
      </c>
      <c r="K55" s="77">
        <f t="shared" si="7"/>
        <v>55010</v>
      </c>
      <c r="L55" s="77">
        <f t="shared" si="7"/>
        <v>0</v>
      </c>
      <c r="M55" s="77">
        <f t="shared" si="7"/>
        <v>20005</v>
      </c>
      <c r="N55" s="77">
        <f t="shared" si="8"/>
        <v>47400</v>
      </c>
      <c r="O55" s="77">
        <f t="shared" si="8"/>
        <v>43100</v>
      </c>
      <c r="P55" s="77">
        <f t="shared" si="8"/>
        <v>31579</v>
      </c>
      <c r="Q55" s="77">
        <f t="shared" si="8"/>
        <v>11711</v>
      </c>
      <c r="R55" s="77">
        <f t="shared" si="8"/>
        <v>18449</v>
      </c>
      <c r="S55" s="77">
        <f t="shared" si="2"/>
        <v>328708</v>
      </c>
      <c r="T55" s="77">
        <v>302403</v>
      </c>
      <c r="U55" s="76">
        <f t="shared" si="3"/>
        <v>26305</v>
      </c>
      <c r="V55" s="73">
        <f t="shared" si="4"/>
        <v>0.08698657090042096</v>
      </c>
      <c r="W55" s="54"/>
      <c r="X55" s="53"/>
    </row>
    <row r="56" spans="1:24" ht="12" customHeight="1">
      <c r="A56" s="78" t="s">
        <v>76</v>
      </c>
      <c r="B56" s="77">
        <f t="shared" si="7"/>
        <v>3418</v>
      </c>
      <c r="C56" s="77">
        <f t="shared" si="7"/>
        <v>50093</v>
      </c>
      <c r="D56" s="77">
        <f t="shared" si="7"/>
        <v>8500</v>
      </c>
      <c r="E56" s="77">
        <f t="shared" si="7"/>
        <v>3661</v>
      </c>
      <c r="F56" s="77">
        <f t="shared" si="7"/>
        <v>0</v>
      </c>
      <c r="G56" s="77">
        <f t="shared" si="7"/>
        <v>8440</v>
      </c>
      <c r="H56" s="77">
        <f t="shared" si="7"/>
        <v>5060</v>
      </c>
      <c r="I56" s="77">
        <f t="shared" si="7"/>
        <v>77763</v>
      </c>
      <c r="J56" s="77">
        <f t="shared" si="7"/>
        <v>76391</v>
      </c>
      <c r="K56" s="77">
        <f t="shared" si="7"/>
        <v>28155</v>
      </c>
      <c r="L56" s="77">
        <f t="shared" si="7"/>
        <v>1120</v>
      </c>
      <c r="M56" s="77">
        <f t="shared" si="7"/>
        <v>29429</v>
      </c>
      <c r="N56" s="77">
        <f t="shared" si="8"/>
        <v>7900</v>
      </c>
      <c r="O56" s="77">
        <f t="shared" si="8"/>
        <v>25615</v>
      </c>
      <c r="P56" s="77">
        <f t="shared" si="8"/>
        <v>11278</v>
      </c>
      <c r="Q56" s="77">
        <f t="shared" si="8"/>
        <v>3855</v>
      </c>
      <c r="R56" s="77">
        <f t="shared" si="8"/>
        <v>5424</v>
      </c>
      <c r="S56" s="77">
        <f t="shared" si="2"/>
        <v>346102</v>
      </c>
      <c r="T56" s="77">
        <v>427665</v>
      </c>
      <c r="U56" s="76">
        <f t="shared" si="3"/>
        <v>-81563</v>
      </c>
      <c r="V56" s="73">
        <f t="shared" si="4"/>
        <v>-0.19071703319186747</v>
      </c>
      <c r="W56" s="54"/>
      <c r="X56" s="53"/>
    </row>
    <row r="57" spans="1:24" ht="12" customHeight="1">
      <c r="A57" s="78" t="s">
        <v>60</v>
      </c>
      <c r="B57" s="77">
        <f t="shared" si="7"/>
        <v>10505</v>
      </c>
      <c r="C57" s="77">
        <f t="shared" si="7"/>
        <v>9187</v>
      </c>
      <c r="D57" s="77">
        <f t="shared" si="7"/>
        <v>0</v>
      </c>
      <c r="E57" s="77">
        <f t="shared" si="7"/>
        <v>8044</v>
      </c>
      <c r="F57" s="77">
        <f t="shared" si="7"/>
        <v>0</v>
      </c>
      <c r="G57" s="77">
        <f t="shared" si="7"/>
        <v>87669</v>
      </c>
      <c r="H57" s="77">
        <f t="shared" si="7"/>
        <v>10597</v>
      </c>
      <c r="I57" s="77">
        <f t="shared" si="7"/>
        <v>3423</v>
      </c>
      <c r="J57" s="77">
        <f t="shared" si="7"/>
        <v>30705</v>
      </c>
      <c r="K57" s="77">
        <f t="shared" si="7"/>
        <v>2960</v>
      </c>
      <c r="L57" s="77">
        <f t="shared" si="7"/>
        <v>0</v>
      </c>
      <c r="M57" s="77">
        <f t="shared" si="7"/>
        <v>67793</v>
      </c>
      <c r="N57" s="77">
        <f t="shared" si="8"/>
        <v>106000</v>
      </c>
      <c r="O57" s="77">
        <f t="shared" si="8"/>
        <v>72350</v>
      </c>
      <c r="P57" s="77">
        <f t="shared" si="8"/>
        <v>3053</v>
      </c>
      <c r="Q57" s="77">
        <f t="shared" si="8"/>
        <v>6283</v>
      </c>
      <c r="R57" s="77">
        <f t="shared" si="8"/>
        <v>33614</v>
      </c>
      <c r="S57" s="77">
        <f t="shared" si="2"/>
        <v>452183</v>
      </c>
      <c r="T57" s="77">
        <v>457028</v>
      </c>
      <c r="U57" s="76">
        <f t="shared" si="3"/>
        <v>-4845</v>
      </c>
      <c r="V57" s="73">
        <f t="shared" si="4"/>
        <v>-0.010601101026632942</v>
      </c>
      <c r="W57" s="54"/>
      <c r="X57" s="53"/>
    </row>
    <row r="58" spans="1:24" ht="12" customHeight="1">
      <c r="A58" s="78" t="s">
        <v>49</v>
      </c>
      <c r="B58" s="77">
        <f t="shared" si="7"/>
        <v>644</v>
      </c>
      <c r="C58" s="77">
        <f t="shared" si="7"/>
        <v>0</v>
      </c>
      <c r="D58" s="77">
        <f t="shared" si="7"/>
        <v>0</v>
      </c>
      <c r="E58" s="77">
        <f t="shared" si="7"/>
        <v>0</v>
      </c>
      <c r="F58" s="77">
        <f t="shared" si="7"/>
        <v>0</v>
      </c>
      <c r="G58" s="77">
        <f t="shared" si="7"/>
        <v>0</v>
      </c>
      <c r="H58" s="77">
        <f t="shared" si="7"/>
        <v>801</v>
      </c>
      <c r="I58" s="77">
        <f t="shared" si="7"/>
        <v>0</v>
      </c>
      <c r="J58" s="77">
        <f t="shared" si="7"/>
        <v>3892</v>
      </c>
      <c r="K58" s="77">
        <f t="shared" si="7"/>
        <v>0</v>
      </c>
      <c r="L58" s="77">
        <f t="shared" si="7"/>
        <v>0</v>
      </c>
      <c r="M58" s="77">
        <f t="shared" si="7"/>
        <v>0</v>
      </c>
      <c r="N58" s="77">
        <f t="shared" si="8"/>
        <v>0</v>
      </c>
      <c r="O58" s="77">
        <f t="shared" si="8"/>
        <v>23565</v>
      </c>
      <c r="P58" s="77">
        <f t="shared" si="8"/>
        <v>0</v>
      </c>
      <c r="Q58" s="77">
        <f t="shared" si="8"/>
        <v>600</v>
      </c>
      <c r="R58" s="77">
        <f t="shared" si="8"/>
        <v>0</v>
      </c>
      <c r="S58" s="77">
        <f t="shared" si="2"/>
        <v>29502</v>
      </c>
      <c r="T58" s="77">
        <v>26427</v>
      </c>
      <c r="U58" s="76">
        <f t="shared" si="3"/>
        <v>3075</v>
      </c>
      <c r="V58" s="73">
        <f t="shared" si="4"/>
        <v>0.11635826995118628</v>
      </c>
      <c r="W58" s="54"/>
      <c r="X58" s="53"/>
    </row>
    <row r="59" spans="1:24" ht="12" customHeight="1">
      <c r="A59" s="78" t="s">
        <v>43</v>
      </c>
      <c r="B59" s="77">
        <f t="shared" si="7"/>
        <v>0</v>
      </c>
      <c r="C59" s="77">
        <f t="shared" si="7"/>
        <v>0</v>
      </c>
      <c r="D59" s="77">
        <f t="shared" si="7"/>
        <v>0</v>
      </c>
      <c r="E59" s="77">
        <f t="shared" si="7"/>
        <v>0</v>
      </c>
      <c r="F59" s="77">
        <f t="shared" si="7"/>
        <v>0</v>
      </c>
      <c r="G59" s="77">
        <f t="shared" si="7"/>
        <v>6594</v>
      </c>
      <c r="H59" s="77">
        <f t="shared" si="7"/>
        <v>0</v>
      </c>
      <c r="I59" s="77">
        <f t="shared" si="7"/>
        <v>0</v>
      </c>
      <c r="J59" s="77">
        <f t="shared" si="7"/>
        <v>0</v>
      </c>
      <c r="K59" s="77">
        <f t="shared" si="7"/>
        <v>0</v>
      </c>
      <c r="L59" s="77">
        <f t="shared" si="7"/>
        <v>0</v>
      </c>
      <c r="M59" s="77">
        <f t="shared" si="7"/>
        <v>16838597</v>
      </c>
      <c r="N59" s="77">
        <f t="shared" si="8"/>
        <v>86000</v>
      </c>
      <c r="O59" s="77">
        <f t="shared" si="8"/>
        <v>145000</v>
      </c>
      <c r="P59" s="77">
        <f t="shared" si="8"/>
        <v>0</v>
      </c>
      <c r="Q59" s="77">
        <f t="shared" si="8"/>
        <v>0</v>
      </c>
      <c r="R59" s="77">
        <f t="shared" si="8"/>
        <v>0</v>
      </c>
      <c r="S59" s="77">
        <f t="shared" si="2"/>
        <v>17076191</v>
      </c>
      <c r="T59" s="77">
        <v>13128432</v>
      </c>
      <c r="U59" s="76">
        <f t="shared" si="3"/>
        <v>3947759</v>
      </c>
      <c r="V59" s="73">
        <f t="shared" si="4"/>
        <v>0.3007030085542584</v>
      </c>
      <c r="W59" s="54"/>
      <c r="X59" s="53"/>
    </row>
    <row r="60" spans="1:24" ht="12" customHeight="1">
      <c r="A60" s="78" t="s">
        <v>77</v>
      </c>
      <c r="B60" s="77">
        <f aca="true" t="shared" si="9" ref="B60:Q78">SUMIF($A$97:$A$225,$A$12:$A$90,B$97:B$225)</f>
        <v>0</v>
      </c>
      <c r="C60" s="77">
        <f t="shared" si="9"/>
        <v>0</v>
      </c>
      <c r="D60" s="77">
        <f t="shared" si="9"/>
        <v>0</v>
      </c>
      <c r="E60" s="77">
        <f t="shared" si="9"/>
        <v>0</v>
      </c>
      <c r="F60" s="77">
        <f t="shared" si="9"/>
        <v>0</v>
      </c>
      <c r="G60" s="77">
        <f t="shared" si="9"/>
        <v>0</v>
      </c>
      <c r="H60" s="77">
        <f t="shared" si="9"/>
        <v>0</v>
      </c>
      <c r="I60" s="77">
        <f t="shared" si="9"/>
        <v>0</v>
      </c>
      <c r="J60" s="77">
        <f t="shared" si="9"/>
        <v>0</v>
      </c>
      <c r="K60" s="77">
        <f t="shared" si="9"/>
        <v>0</v>
      </c>
      <c r="L60" s="77">
        <f t="shared" si="9"/>
        <v>0</v>
      </c>
      <c r="M60" s="77">
        <f t="shared" si="9"/>
        <v>0</v>
      </c>
      <c r="N60" s="77">
        <f t="shared" si="9"/>
        <v>0</v>
      </c>
      <c r="O60" s="77">
        <f t="shared" si="9"/>
        <v>0</v>
      </c>
      <c r="P60" s="77">
        <f t="shared" si="9"/>
        <v>0</v>
      </c>
      <c r="Q60" s="77">
        <f t="shared" si="9"/>
        <v>0</v>
      </c>
      <c r="R60" s="77">
        <f aca="true" t="shared" si="10" ref="P60:R79">SUMIF($A$97:$A$225,$A$12:$A$90,R$97:R$225)</f>
        <v>6182</v>
      </c>
      <c r="S60" s="77">
        <f t="shared" si="2"/>
        <v>6182</v>
      </c>
      <c r="T60" s="77">
        <v>6182</v>
      </c>
      <c r="U60" s="76">
        <f t="shared" si="3"/>
        <v>0</v>
      </c>
      <c r="V60" s="73">
        <f t="shared" si="4"/>
        <v>0</v>
      </c>
      <c r="W60" s="54"/>
      <c r="X60" s="53"/>
    </row>
    <row r="61" spans="1:24" ht="12" customHeight="1">
      <c r="A61" s="78" t="s">
        <v>78</v>
      </c>
      <c r="B61" s="77">
        <f t="shared" si="9"/>
        <v>8335</v>
      </c>
      <c r="C61" s="77">
        <f t="shared" si="9"/>
        <v>876</v>
      </c>
      <c r="D61" s="77">
        <f t="shared" si="9"/>
        <v>2842</v>
      </c>
      <c r="E61" s="77">
        <f t="shared" si="9"/>
        <v>3169</v>
      </c>
      <c r="F61" s="77">
        <f t="shared" si="9"/>
        <v>0</v>
      </c>
      <c r="G61" s="77">
        <f t="shared" si="9"/>
        <v>5065</v>
      </c>
      <c r="H61" s="77">
        <f t="shared" si="9"/>
        <v>2828</v>
      </c>
      <c r="I61" s="77">
        <f t="shared" si="9"/>
        <v>42129</v>
      </c>
      <c r="J61" s="77">
        <f t="shared" si="9"/>
        <v>8043</v>
      </c>
      <c r="K61" s="77">
        <f t="shared" si="9"/>
        <v>6967</v>
      </c>
      <c r="L61" s="77">
        <f t="shared" si="9"/>
        <v>66353</v>
      </c>
      <c r="M61" s="77">
        <f t="shared" si="9"/>
        <v>180650</v>
      </c>
      <c r="N61" s="77">
        <f t="shared" si="9"/>
        <v>112200</v>
      </c>
      <c r="O61" s="77">
        <f t="shared" si="9"/>
        <v>21100</v>
      </c>
      <c r="P61" s="77">
        <f t="shared" si="10"/>
        <v>775</v>
      </c>
      <c r="Q61" s="77">
        <f t="shared" si="10"/>
        <v>1790</v>
      </c>
      <c r="R61" s="77">
        <f t="shared" si="10"/>
        <v>14525</v>
      </c>
      <c r="S61" s="77">
        <f t="shared" si="2"/>
        <v>477647</v>
      </c>
      <c r="T61" s="77">
        <v>562496</v>
      </c>
      <c r="U61" s="76">
        <f t="shared" si="3"/>
        <v>-84849</v>
      </c>
      <c r="V61" s="73">
        <f t="shared" si="4"/>
        <v>-0.15084373933325748</v>
      </c>
      <c r="W61" s="54"/>
      <c r="X61" s="53"/>
    </row>
    <row r="62" spans="1:24" ht="12" customHeight="1">
      <c r="A62" s="78" t="s">
        <v>50</v>
      </c>
      <c r="B62" s="77">
        <f t="shared" si="9"/>
        <v>0</v>
      </c>
      <c r="C62" s="77">
        <f t="shared" si="9"/>
        <v>0</v>
      </c>
      <c r="D62" s="77">
        <f t="shared" si="9"/>
        <v>0</v>
      </c>
      <c r="E62" s="77">
        <f t="shared" si="9"/>
        <v>0</v>
      </c>
      <c r="F62" s="77">
        <f t="shared" si="9"/>
        <v>0</v>
      </c>
      <c r="G62" s="77">
        <f t="shared" si="9"/>
        <v>0</v>
      </c>
      <c r="H62" s="77">
        <f t="shared" si="9"/>
        <v>0</v>
      </c>
      <c r="I62" s="77">
        <f t="shared" si="9"/>
        <v>0</v>
      </c>
      <c r="J62" s="77">
        <f t="shared" si="9"/>
        <v>0</v>
      </c>
      <c r="K62" s="77">
        <f t="shared" si="9"/>
        <v>2798</v>
      </c>
      <c r="L62" s="77">
        <f t="shared" si="9"/>
        <v>0</v>
      </c>
      <c r="M62" s="77">
        <f t="shared" si="9"/>
        <v>0</v>
      </c>
      <c r="N62" s="77">
        <f t="shared" si="9"/>
        <v>81500</v>
      </c>
      <c r="O62" s="77">
        <f t="shared" si="9"/>
        <v>2960062</v>
      </c>
      <c r="P62" s="77">
        <f t="shared" si="10"/>
        <v>0</v>
      </c>
      <c r="Q62" s="77">
        <f t="shared" si="10"/>
        <v>0</v>
      </c>
      <c r="R62" s="77">
        <f t="shared" si="10"/>
        <v>129417</v>
      </c>
      <c r="S62" s="77">
        <f t="shared" si="2"/>
        <v>3173777</v>
      </c>
      <c r="T62" s="77">
        <v>4118997</v>
      </c>
      <c r="U62" s="76">
        <f t="shared" si="3"/>
        <v>-945220</v>
      </c>
      <c r="V62" s="73">
        <f t="shared" si="4"/>
        <v>-0.22947819578407072</v>
      </c>
      <c r="W62" s="54"/>
      <c r="X62" s="53"/>
    </row>
    <row r="63" spans="1:24" ht="12" customHeight="1">
      <c r="A63" s="78" t="s">
        <v>61</v>
      </c>
      <c r="B63" s="77">
        <f t="shared" si="9"/>
        <v>0</v>
      </c>
      <c r="C63" s="77">
        <f t="shared" si="9"/>
        <v>0</v>
      </c>
      <c r="D63" s="77">
        <f t="shared" si="9"/>
        <v>0</v>
      </c>
      <c r="E63" s="77">
        <f t="shared" si="9"/>
        <v>0</v>
      </c>
      <c r="F63" s="77">
        <f t="shared" si="9"/>
        <v>0</v>
      </c>
      <c r="G63" s="77">
        <f t="shared" si="9"/>
        <v>0</v>
      </c>
      <c r="H63" s="77">
        <f t="shared" si="9"/>
        <v>0</v>
      </c>
      <c r="I63" s="77">
        <f t="shared" si="9"/>
        <v>0</v>
      </c>
      <c r="J63" s="77">
        <f t="shared" si="9"/>
        <v>0</v>
      </c>
      <c r="K63" s="77">
        <f t="shared" si="9"/>
        <v>0</v>
      </c>
      <c r="L63" s="77">
        <f t="shared" si="9"/>
        <v>0</v>
      </c>
      <c r="M63" s="77">
        <f t="shared" si="9"/>
        <v>0</v>
      </c>
      <c r="N63" s="77">
        <f t="shared" si="9"/>
        <v>0</v>
      </c>
      <c r="O63" s="77">
        <f t="shared" si="9"/>
        <v>1059425</v>
      </c>
      <c r="P63" s="77">
        <f t="shared" si="10"/>
        <v>0</v>
      </c>
      <c r="Q63" s="77">
        <f t="shared" si="10"/>
        <v>0</v>
      </c>
      <c r="R63" s="77">
        <f t="shared" si="10"/>
        <v>0</v>
      </c>
      <c r="S63" s="77">
        <f t="shared" si="2"/>
        <v>1059425</v>
      </c>
      <c r="T63" s="77">
        <v>1057250</v>
      </c>
      <c r="U63" s="76">
        <f t="shared" si="3"/>
        <v>2175</v>
      </c>
      <c r="V63" s="73">
        <f t="shared" si="4"/>
        <v>0.002057223930007094</v>
      </c>
      <c r="W63" s="54"/>
      <c r="X63" s="53"/>
    </row>
    <row r="64" spans="1:24" ht="12" customHeight="1">
      <c r="A64" s="78" t="s">
        <v>79</v>
      </c>
      <c r="B64" s="77">
        <f t="shared" si="9"/>
        <v>537</v>
      </c>
      <c r="C64" s="77">
        <f t="shared" si="9"/>
        <v>274</v>
      </c>
      <c r="D64" s="77">
        <f t="shared" si="9"/>
        <v>1099</v>
      </c>
      <c r="E64" s="77">
        <f t="shared" si="9"/>
        <v>635</v>
      </c>
      <c r="F64" s="77">
        <f t="shared" si="9"/>
        <v>0</v>
      </c>
      <c r="G64" s="77">
        <f t="shared" si="9"/>
        <v>752</v>
      </c>
      <c r="H64" s="77">
        <f t="shared" si="9"/>
        <v>19</v>
      </c>
      <c r="I64" s="77">
        <f t="shared" si="9"/>
        <v>537</v>
      </c>
      <c r="J64" s="77">
        <f t="shared" si="9"/>
        <v>140</v>
      </c>
      <c r="K64" s="77">
        <f t="shared" si="9"/>
        <v>332</v>
      </c>
      <c r="L64" s="77">
        <f t="shared" si="9"/>
        <v>0</v>
      </c>
      <c r="M64" s="77">
        <f t="shared" si="9"/>
        <v>1144</v>
      </c>
      <c r="N64" s="77">
        <f t="shared" si="9"/>
        <v>0</v>
      </c>
      <c r="O64" s="77">
        <f t="shared" si="9"/>
        <v>400</v>
      </c>
      <c r="P64" s="77">
        <f t="shared" si="10"/>
        <v>215</v>
      </c>
      <c r="Q64" s="77">
        <f t="shared" si="10"/>
        <v>456</v>
      </c>
      <c r="R64" s="77">
        <f t="shared" si="10"/>
        <v>171</v>
      </c>
      <c r="S64" s="77">
        <f t="shared" si="2"/>
        <v>6711</v>
      </c>
      <c r="T64" s="77">
        <v>6611</v>
      </c>
      <c r="U64" s="76">
        <f t="shared" si="3"/>
        <v>100</v>
      </c>
      <c r="V64" s="73">
        <f t="shared" si="4"/>
        <v>0.015126304643775526</v>
      </c>
      <c r="W64" s="54"/>
      <c r="X64" s="53"/>
    </row>
    <row r="65" spans="1:24" ht="12" customHeight="1">
      <c r="A65" s="78" t="s">
        <v>106</v>
      </c>
      <c r="B65" s="77">
        <f t="shared" si="9"/>
        <v>0</v>
      </c>
      <c r="C65" s="77">
        <f t="shared" si="9"/>
        <v>0</v>
      </c>
      <c r="D65" s="77">
        <f t="shared" si="9"/>
        <v>0</v>
      </c>
      <c r="E65" s="77">
        <f t="shared" si="9"/>
        <v>0</v>
      </c>
      <c r="F65" s="77">
        <f t="shared" si="9"/>
        <v>0</v>
      </c>
      <c r="G65" s="77">
        <f t="shared" si="9"/>
        <v>0</v>
      </c>
      <c r="H65" s="77">
        <f t="shared" si="9"/>
        <v>0</v>
      </c>
      <c r="I65" s="77">
        <f t="shared" si="9"/>
        <v>0</v>
      </c>
      <c r="J65" s="77">
        <f t="shared" si="9"/>
        <v>0</v>
      </c>
      <c r="K65" s="77">
        <f t="shared" si="9"/>
        <v>0</v>
      </c>
      <c r="L65" s="77">
        <f t="shared" si="9"/>
        <v>0</v>
      </c>
      <c r="M65" s="77">
        <f t="shared" si="9"/>
        <v>0</v>
      </c>
      <c r="N65" s="77">
        <f t="shared" si="9"/>
        <v>2169500</v>
      </c>
      <c r="O65" s="77">
        <f t="shared" si="9"/>
        <v>0</v>
      </c>
      <c r="P65" s="77">
        <f t="shared" si="10"/>
        <v>0</v>
      </c>
      <c r="Q65" s="77">
        <f t="shared" si="10"/>
        <v>0</v>
      </c>
      <c r="R65" s="77">
        <f t="shared" si="10"/>
        <v>0</v>
      </c>
      <c r="S65" s="77">
        <f t="shared" si="2"/>
        <v>2169500</v>
      </c>
      <c r="T65" s="77">
        <v>1969500</v>
      </c>
      <c r="U65" s="76">
        <f t="shared" si="3"/>
        <v>200000</v>
      </c>
      <c r="V65" s="73">
        <f t="shared" si="4"/>
        <v>0.10154861640010154</v>
      </c>
      <c r="W65" s="54"/>
      <c r="X65" s="53"/>
    </row>
    <row r="66" spans="1:24" ht="12" customHeight="1">
      <c r="A66" s="78" t="s">
        <v>51</v>
      </c>
      <c r="B66" s="77">
        <f t="shared" si="9"/>
        <v>0</v>
      </c>
      <c r="C66" s="77">
        <f t="shared" si="9"/>
        <v>0</v>
      </c>
      <c r="D66" s="77">
        <f t="shared" si="9"/>
        <v>0</v>
      </c>
      <c r="E66" s="77">
        <f t="shared" si="9"/>
        <v>0</v>
      </c>
      <c r="F66" s="77">
        <f t="shared" si="9"/>
        <v>0</v>
      </c>
      <c r="G66" s="77">
        <f t="shared" si="9"/>
        <v>0</v>
      </c>
      <c r="H66" s="77">
        <f t="shared" si="9"/>
        <v>0</v>
      </c>
      <c r="I66" s="77">
        <f t="shared" si="9"/>
        <v>0</v>
      </c>
      <c r="J66" s="77">
        <f t="shared" si="9"/>
        <v>0</v>
      </c>
      <c r="K66" s="77">
        <f t="shared" si="9"/>
        <v>0</v>
      </c>
      <c r="L66" s="77">
        <f t="shared" si="9"/>
        <v>0</v>
      </c>
      <c r="M66" s="77">
        <f t="shared" si="9"/>
        <v>0</v>
      </c>
      <c r="N66" s="77">
        <f t="shared" si="9"/>
        <v>0</v>
      </c>
      <c r="O66" s="77">
        <f t="shared" si="9"/>
        <v>1023309</v>
      </c>
      <c r="P66" s="77">
        <f t="shared" si="10"/>
        <v>0</v>
      </c>
      <c r="Q66" s="77">
        <f t="shared" si="10"/>
        <v>0</v>
      </c>
      <c r="R66" s="77">
        <f t="shared" si="10"/>
        <v>0</v>
      </c>
      <c r="S66" s="77">
        <f t="shared" si="2"/>
        <v>1023309</v>
      </c>
      <c r="T66" s="77">
        <v>992000</v>
      </c>
      <c r="U66" s="76">
        <f t="shared" si="3"/>
        <v>31309</v>
      </c>
      <c r="V66" s="73">
        <f t="shared" si="4"/>
        <v>0.03156149193548387</v>
      </c>
      <c r="W66" s="54"/>
      <c r="X66" s="53"/>
    </row>
    <row r="67" spans="1:24" ht="12" customHeight="1">
      <c r="A67" s="78" t="s">
        <v>52</v>
      </c>
      <c r="B67" s="77">
        <f t="shared" si="9"/>
        <v>0</v>
      </c>
      <c r="C67" s="77">
        <f t="shared" si="9"/>
        <v>0</v>
      </c>
      <c r="D67" s="77">
        <f t="shared" si="9"/>
        <v>0</v>
      </c>
      <c r="E67" s="77">
        <f t="shared" si="9"/>
        <v>0</v>
      </c>
      <c r="F67" s="77">
        <f t="shared" si="9"/>
        <v>0</v>
      </c>
      <c r="G67" s="77">
        <f t="shared" si="9"/>
        <v>0</v>
      </c>
      <c r="H67" s="77">
        <f t="shared" si="9"/>
        <v>0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767590</v>
      </c>
      <c r="P67" s="77">
        <f t="shared" si="10"/>
        <v>0</v>
      </c>
      <c r="Q67" s="77">
        <f t="shared" si="10"/>
        <v>0</v>
      </c>
      <c r="R67" s="77">
        <f t="shared" si="10"/>
        <v>0</v>
      </c>
      <c r="S67" s="77">
        <f t="shared" si="2"/>
        <v>767590</v>
      </c>
      <c r="T67" s="77">
        <v>767590</v>
      </c>
      <c r="U67" s="76">
        <f t="shared" si="3"/>
        <v>0</v>
      </c>
      <c r="V67" s="73">
        <f t="shared" si="4"/>
        <v>0</v>
      </c>
      <c r="W67" s="54"/>
      <c r="X67" s="53"/>
    </row>
    <row r="68" spans="1:24" ht="12" customHeight="1">
      <c r="A68" s="78" t="s">
        <v>53</v>
      </c>
      <c r="B68" s="77">
        <f t="shared" si="9"/>
        <v>0</v>
      </c>
      <c r="C68" s="77">
        <f t="shared" si="9"/>
        <v>0</v>
      </c>
      <c r="D68" s="77">
        <f t="shared" si="9"/>
        <v>0</v>
      </c>
      <c r="E68" s="77">
        <f t="shared" si="9"/>
        <v>0</v>
      </c>
      <c r="F68" s="77">
        <f t="shared" si="9"/>
        <v>0</v>
      </c>
      <c r="G68" s="77">
        <f t="shared" si="9"/>
        <v>0</v>
      </c>
      <c r="H68" s="77">
        <f t="shared" si="9"/>
        <v>0</v>
      </c>
      <c r="I68" s="77">
        <f t="shared" si="9"/>
        <v>0</v>
      </c>
      <c r="J68" s="77">
        <f t="shared" si="9"/>
        <v>0</v>
      </c>
      <c r="K68" s="77">
        <f t="shared" si="9"/>
        <v>0</v>
      </c>
      <c r="L68" s="77">
        <f t="shared" si="9"/>
        <v>0</v>
      </c>
      <c r="M68" s="77">
        <f t="shared" si="9"/>
        <v>0</v>
      </c>
      <c r="N68" s="77">
        <f t="shared" si="9"/>
        <v>0</v>
      </c>
      <c r="O68" s="77">
        <f t="shared" si="9"/>
        <v>70600</v>
      </c>
      <c r="P68" s="77">
        <f t="shared" si="10"/>
        <v>0</v>
      </c>
      <c r="Q68" s="77">
        <f t="shared" si="10"/>
        <v>0</v>
      </c>
      <c r="R68" s="77">
        <f t="shared" si="10"/>
        <v>0</v>
      </c>
      <c r="S68" s="77">
        <f t="shared" si="2"/>
        <v>70600</v>
      </c>
      <c r="T68" s="77">
        <v>70600</v>
      </c>
      <c r="U68" s="76">
        <f t="shared" si="3"/>
        <v>0</v>
      </c>
      <c r="V68" s="73">
        <f t="shared" si="4"/>
        <v>0</v>
      </c>
      <c r="W68" s="54"/>
      <c r="X68" s="53"/>
    </row>
    <row r="69" spans="1:24" ht="12" customHeight="1">
      <c r="A69" s="78" t="s">
        <v>54</v>
      </c>
      <c r="B69" s="77">
        <f t="shared" si="9"/>
        <v>0</v>
      </c>
      <c r="C69" s="77">
        <f t="shared" si="9"/>
        <v>0</v>
      </c>
      <c r="D69" s="77">
        <f t="shared" si="9"/>
        <v>0</v>
      </c>
      <c r="E69" s="77">
        <f t="shared" si="9"/>
        <v>0</v>
      </c>
      <c r="F69" s="77">
        <f t="shared" si="9"/>
        <v>0</v>
      </c>
      <c r="G69" s="77">
        <f t="shared" si="9"/>
        <v>0</v>
      </c>
      <c r="H69" s="77">
        <f t="shared" si="9"/>
        <v>0</v>
      </c>
      <c r="I69" s="77">
        <f t="shared" si="9"/>
        <v>0</v>
      </c>
      <c r="J69" s="77">
        <f t="shared" si="9"/>
        <v>0</v>
      </c>
      <c r="K69" s="77">
        <f t="shared" si="9"/>
        <v>0</v>
      </c>
      <c r="L69" s="77">
        <f t="shared" si="9"/>
        <v>0</v>
      </c>
      <c r="M69" s="77">
        <f t="shared" si="9"/>
        <v>0</v>
      </c>
      <c r="N69" s="77">
        <f t="shared" si="9"/>
        <v>0</v>
      </c>
      <c r="O69" s="77">
        <f t="shared" si="9"/>
        <v>2246756</v>
      </c>
      <c r="P69" s="77">
        <f t="shared" si="10"/>
        <v>0</v>
      </c>
      <c r="Q69" s="77">
        <f t="shared" si="10"/>
        <v>0</v>
      </c>
      <c r="R69" s="77">
        <f t="shared" si="10"/>
        <v>0</v>
      </c>
      <c r="S69" s="77">
        <f t="shared" si="2"/>
        <v>2246756</v>
      </c>
      <c r="T69" s="77">
        <v>2546756</v>
      </c>
      <c r="U69" s="76">
        <f t="shared" si="3"/>
        <v>-300000</v>
      </c>
      <c r="V69" s="73">
        <f t="shared" si="4"/>
        <v>-0.11779691497732803</v>
      </c>
      <c r="W69" s="54"/>
      <c r="X69" s="53"/>
    </row>
    <row r="70" spans="1:24" ht="12" customHeight="1">
      <c r="A70" s="78" t="s">
        <v>80</v>
      </c>
      <c r="B70" s="77">
        <f t="shared" si="9"/>
        <v>0</v>
      </c>
      <c r="C70" s="77">
        <f t="shared" si="9"/>
        <v>0</v>
      </c>
      <c r="D70" s="77">
        <f t="shared" si="9"/>
        <v>0</v>
      </c>
      <c r="E70" s="77">
        <f t="shared" si="9"/>
        <v>0</v>
      </c>
      <c r="F70" s="77">
        <f t="shared" si="9"/>
        <v>0</v>
      </c>
      <c r="G70" s="77">
        <f t="shared" si="9"/>
        <v>0</v>
      </c>
      <c r="H70" s="77">
        <f t="shared" si="9"/>
        <v>1600</v>
      </c>
      <c r="I70" s="77">
        <f t="shared" si="9"/>
        <v>0</v>
      </c>
      <c r="J70" s="77">
        <f t="shared" si="9"/>
        <v>0</v>
      </c>
      <c r="K70" s="77">
        <f t="shared" si="9"/>
        <v>0</v>
      </c>
      <c r="L70" s="77">
        <f t="shared" si="9"/>
        <v>0</v>
      </c>
      <c r="M70" s="77">
        <f t="shared" si="9"/>
        <v>0</v>
      </c>
      <c r="N70" s="77">
        <f t="shared" si="9"/>
        <v>0</v>
      </c>
      <c r="O70" s="77">
        <f t="shared" si="9"/>
        <v>0</v>
      </c>
      <c r="P70" s="77">
        <f t="shared" si="10"/>
        <v>0</v>
      </c>
      <c r="Q70" s="77">
        <f t="shared" si="10"/>
        <v>0</v>
      </c>
      <c r="R70" s="77">
        <f t="shared" si="10"/>
        <v>0</v>
      </c>
      <c r="S70" s="77">
        <f t="shared" si="2"/>
        <v>1600</v>
      </c>
      <c r="T70" s="77">
        <v>1600</v>
      </c>
      <c r="U70" s="76">
        <f t="shared" si="3"/>
        <v>0</v>
      </c>
      <c r="V70" s="73">
        <f t="shared" si="4"/>
        <v>0</v>
      </c>
      <c r="W70" s="54"/>
      <c r="X70" s="53"/>
    </row>
    <row r="71" spans="1:24" ht="12" customHeight="1">
      <c r="A71" s="78" t="s">
        <v>62</v>
      </c>
      <c r="B71" s="77">
        <f t="shared" si="9"/>
        <v>0</v>
      </c>
      <c r="C71" s="77">
        <f t="shared" si="9"/>
        <v>0</v>
      </c>
      <c r="D71" s="77">
        <f t="shared" si="9"/>
        <v>0</v>
      </c>
      <c r="E71" s="77">
        <f t="shared" si="9"/>
        <v>0</v>
      </c>
      <c r="F71" s="77">
        <f t="shared" si="9"/>
        <v>0</v>
      </c>
      <c r="G71" s="77">
        <f t="shared" si="9"/>
        <v>0</v>
      </c>
      <c r="H71" s="77">
        <f t="shared" si="9"/>
        <v>0</v>
      </c>
      <c r="I71" s="77">
        <f t="shared" si="9"/>
        <v>0</v>
      </c>
      <c r="J71" s="77">
        <f t="shared" si="9"/>
        <v>0</v>
      </c>
      <c r="K71" s="77">
        <f t="shared" si="9"/>
        <v>0</v>
      </c>
      <c r="L71" s="77">
        <f t="shared" si="9"/>
        <v>0</v>
      </c>
      <c r="M71" s="77">
        <f t="shared" si="9"/>
        <v>13147271</v>
      </c>
      <c r="N71" s="77">
        <f t="shared" si="9"/>
        <v>0</v>
      </c>
      <c r="O71" s="77">
        <f t="shared" si="9"/>
        <v>0</v>
      </c>
      <c r="P71" s="77">
        <f t="shared" si="10"/>
        <v>0</v>
      </c>
      <c r="Q71" s="77">
        <f t="shared" si="10"/>
        <v>0</v>
      </c>
      <c r="R71" s="77">
        <f t="shared" si="10"/>
        <v>0</v>
      </c>
      <c r="S71" s="77">
        <f t="shared" si="2"/>
        <v>13147271</v>
      </c>
      <c r="T71" s="77">
        <v>11953179</v>
      </c>
      <c r="U71" s="76">
        <f t="shared" si="3"/>
        <v>1194092</v>
      </c>
      <c r="V71" s="73">
        <f t="shared" si="4"/>
        <v>0.0998974415090747</v>
      </c>
      <c r="W71" s="54"/>
      <c r="X71" s="53"/>
    </row>
    <row r="72" spans="1:24" ht="12" customHeight="1">
      <c r="A72" s="78" t="s">
        <v>56</v>
      </c>
      <c r="B72" s="77">
        <f t="shared" si="9"/>
        <v>0</v>
      </c>
      <c r="C72" s="77">
        <f t="shared" si="9"/>
        <v>0</v>
      </c>
      <c r="D72" s="77">
        <f t="shared" si="9"/>
        <v>0</v>
      </c>
      <c r="E72" s="77">
        <f t="shared" si="9"/>
        <v>0</v>
      </c>
      <c r="F72" s="77">
        <f t="shared" si="9"/>
        <v>0</v>
      </c>
      <c r="G72" s="77">
        <f t="shared" si="9"/>
        <v>0</v>
      </c>
      <c r="H72" s="77">
        <f t="shared" si="9"/>
        <v>0</v>
      </c>
      <c r="I72" s="77">
        <f t="shared" si="9"/>
        <v>0</v>
      </c>
      <c r="J72" s="77">
        <f t="shared" si="9"/>
        <v>0</v>
      </c>
      <c r="K72" s="77">
        <f t="shared" si="9"/>
        <v>0</v>
      </c>
      <c r="L72" s="77">
        <f t="shared" si="9"/>
        <v>0</v>
      </c>
      <c r="M72" s="77">
        <f t="shared" si="9"/>
        <v>0</v>
      </c>
      <c r="N72" s="77">
        <f t="shared" si="9"/>
        <v>0</v>
      </c>
      <c r="O72" s="77">
        <f t="shared" si="9"/>
        <v>290685</v>
      </c>
      <c r="P72" s="77">
        <f t="shared" si="10"/>
        <v>0</v>
      </c>
      <c r="Q72" s="77">
        <f t="shared" si="10"/>
        <v>0</v>
      </c>
      <c r="R72" s="77">
        <f t="shared" si="10"/>
        <v>75000</v>
      </c>
      <c r="S72" s="77">
        <f t="shared" si="2"/>
        <v>365685</v>
      </c>
      <c r="T72" s="77">
        <v>226525</v>
      </c>
      <c r="U72" s="76">
        <f t="shared" si="3"/>
        <v>139160</v>
      </c>
      <c r="V72" s="73">
        <f t="shared" si="4"/>
        <v>0.6143251296766361</v>
      </c>
      <c r="W72" s="54"/>
      <c r="X72" s="53"/>
    </row>
    <row r="73" spans="1:24" ht="12" customHeight="1">
      <c r="A73" s="78" t="s">
        <v>105</v>
      </c>
      <c r="B73" s="77">
        <f t="shared" si="9"/>
        <v>0</v>
      </c>
      <c r="C73" s="77">
        <f t="shared" si="9"/>
        <v>0</v>
      </c>
      <c r="D73" s="77">
        <f t="shared" si="9"/>
        <v>0</v>
      </c>
      <c r="E73" s="77">
        <f t="shared" si="9"/>
        <v>0</v>
      </c>
      <c r="F73" s="77">
        <f t="shared" si="9"/>
        <v>0</v>
      </c>
      <c r="G73" s="77">
        <f t="shared" si="9"/>
        <v>0</v>
      </c>
      <c r="H73" s="77">
        <f t="shared" si="9"/>
        <v>0</v>
      </c>
      <c r="I73" s="77">
        <f t="shared" si="9"/>
        <v>0</v>
      </c>
      <c r="J73" s="77">
        <f t="shared" si="9"/>
        <v>0</v>
      </c>
      <c r="K73" s="77">
        <f t="shared" si="9"/>
        <v>0</v>
      </c>
      <c r="L73" s="77">
        <f t="shared" si="9"/>
        <v>0</v>
      </c>
      <c r="M73" s="77">
        <f t="shared" si="9"/>
        <v>0</v>
      </c>
      <c r="N73" s="77">
        <f t="shared" si="9"/>
        <v>0</v>
      </c>
      <c r="O73" s="77">
        <f t="shared" si="9"/>
        <v>836492</v>
      </c>
      <c r="P73" s="77">
        <f t="shared" si="10"/>
        <v>0</v>
      </c>
      <c r="Q73" s="77">
        <f t="shared" si="10"/>
        <v>0</v>
      </c>
      <c r="R73" s="77">
        <f t="shared" si="10"/>
        <v>0</v>
      </c>
      <c r="S73" s="77">
        <f t="shared" si="2"/>
        <v>836492</v>
      </c>
      <c r="T73" s="77">
        <v>943789</v>
      </c>
      <c r="U73" s="76">
        <f t="shared" si="3"/>
        <v>-107297</v>
      </c>
      <c r="V73" s="73">
        <f t="shared" si="4"/>
        <v>-0.11368748735151607</v>
      </c>
      <c r="W73" s="54"/>
      <c r="X73" s="53"/>
    </row>
    <row r="74" spans="1:24" ht="12" customHeight="1">
      <c r="A74" s="78" t="s">
        <v>104</v>
      </c>
      <c r="B74" s="77">
        <f t="shared" si="9"/>
        <v>0</v>
      </c>
      <c r="C74" s="77">
        <f t="shared" si="9"/>
        <v>0</v>
      </c>
      <c r="D74" s="77">
        <f t="shared" si="9"/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  <c r="I74" s="77">
        <f t="shared" si="9"/>
        <v>0</v>
      </c>
      <c r="J74" s="77">
        <f t="shared" si="9"/>
        <v>0</v>
      </c>
      <c r="K74" s="77">
        <f t="shared" si="9"/>
        <v>0</v>
      </c>
      <c r="L74" s="77">
        <f t="shared" si="9"/>
        <v>0</v>
      </c>
      <c r="M74" s="77">
        <f t="shared" si="9"/>
        <v>0</v>
      </c>
      <c r="N74" s="77">
        <f t="shared" si="9"/>
        <v>0</v>
      </c>
      <c r="O74" s="77">
        <f t="shared" si="9"/>
        <v>2420000</v>
      </c>
      <c r="P74" s="77">
        <f t="shared" si="10"/>
        <v>0</v>
      </c>
      <c r="Q74" s="77">
        <f t="shared" si="10"/>
        <v>0</v>
      </c>
      <c r="R74" s="77">
        <f t="shared" si="10"/>
        <v>0</v>
      </c>
      <c r="S74" s="77">
        <f t="shared" si="2"/>
        <v>2420000</v>
      </c>
      <c r="T74" s="77">
        <v>2098293</v>
      </c>
      <c r="U74" s="76">
        <f t="shared" si="3"/>
        <v>321707</v>
      </c>
      <c r="V74" s="73">
        <f t="shared" si="4"/>
        <v>0.1533184355092449</v>
      </c>
      <c r="W74" s="54"/>
      <c r="X74" s="53"/>
    </row>
    <row r="75" spans="1:24" ht="12" customHeight="1">
      <c r="A75" s="78" t="s">
        <v>103</v>
      </c>
      <c r="B75" s="77">
        <f t="shared" si="9"/>
        <v>0</v>
      </c>
      <c r="C75" s="77">
        <f t="shared" si="9"/>
        <v>0</v>
      </c>
      <c r="D75" s="77">
        <f t="shared" si="9"/>
        <v>0</v>
      </c>
      <c r="E75" s="77">
        <f t="shared" si="9"/>
        <v>0</v>
      </c>
      <c r="F75" s="77">
        <f t="shared" si="9"/>
        <v>0</v>
      </c>
      <c r="G75" s="77">
        <f t="shared" si="9"/>
        <v>0</v>
      </c>
      <c r="H75" s="77">
        <f t="shared" si="9"/>
        <v>0</v>
      </c>
      <c r="I75" s="77">
        <f t="shared" si="9"/>
        <v>0</v>
      </c>
      <c r="J75" s="77">
        <f t="shared" si="9"/>
        <v>0</v>
      </c>
      <c r="K75" s="77">
        <f t="shared" si="9"/>
        <v>0</v>
      </c>
      <c r="L75" s="77">
        <f t="shared" si="9"/>
        <v>0</v>
      </c>
      <c r="M75" s="77">
        <f t="shared" si="9"/>
        <v>0</v>
      </c>
      <c r="N75" s="77">
        <f t="shared" si="9"/>
        <v>31268000</v>
      </c>
      <c r="O75" s="77">
        <f t="shared" si="9"/>
        <v>0</v>
      </c>
      <c r="P75" s="77">
        <f t="shared" si="10"/>
        <v>0</v>
      </c>
      <c r="Q75" s="77">
        <f t="shared" si="10"/>
        <v>0</v>
      </c>
      <c r="R75" s="77">
        <f t="shared" si="10"/>
        <v>15000</v>
      </c>
      <c r="S75" s="77">
        <f t="shared" si="2"/>
        <v>31283000</v>
      </c>
      <c r="T75" s="77">
        <v>23355000</v>
      </c>
      <c r="U75" s="76">
        <f t="shared" si="3"/>
        <v>7928000</v>
      </c>
      <c r="V75" s="73">
        <f t="shared" si="4"/>
        <v>0.33945621922500535</v>
      </c>
      <c r="W75" s="54"/>
      <c r="X75" s="53"/>
    </row>
    <row r="76" spans="1:24" ht="12" customHeight="1">
      <c r="A76" s="78" t="s">
        <v>63</v>
      </c>
      <c r="B76" s="77">
        <f t="shared" si="9"/>
        <v>0</v>
      </c>
      <c r="C76" s="77">
        <f t="shared" si="9"/>
        <v>0</v>
      </c>
      <c r="D76" s="77">
        <f t="shared" si="9"/>
        <v>0</v>
      </c>
      <c r="E76" s="77">
        <f t="shared" si="9"/>
        <v>0</v>
      </c>
      <c r="F76" s="77">
        <f t="shared" si="9"/>
        <v>0</v>
      </c>
      <c r="G76" s="77">
        <f t="shared" si="9"/>
        <v>0</v>
      </c>
      <c r="H76" s="77">
        <f t="shared" si="9"/>
        <v>0</v>
      </c>
      <c r="I76" s="77">
        <f t="shared" si="9"/>
        <v>0</v>
      </c>
      <c r="J76" s="77">
        <f t="shared" si="9"/>
        <v>0</v>
      </c>
      <c r="K76" s="77">
        <f t="shared" si="9"/>
        <v>0</v>
      </c>
      <c r="L76" s="77">
        <f t="shared" si="9"/>
        <v>0</v>
      </c>
      <c r="M76" s="77">
        <f t="shared" si="9"/>
        <v>0</v>
      </c>
      <c r="N76" s="77">
        <f t="shared" si="9"/>
        <v>47475950</v>
      </c>
      <c r="O76" s="77">
        <f t="shared" si="9"/>
        <v>0</v>
      </c>
      <c r="P76" s="77">
        <f t="shared" si="10"/>
        <v>0</v>
      </c>
      <c r="Q76" s="77">
        <f t="shared" si="10"/>
        <v>0</v>
      </c>
      <c r="R76" s="77">
        <f t="shared" si="10"/>
        <v>0</v>
      </c>
      <c r="S76" s="77">
        <f aca="true" t="shared" si="11" ref="S76:S90">SUM(B76:R76)</f>
        <v>47475950</v>
      </c>
      <c r="T76" s="77">
        <v>44786827</v>
      </c>
      <c r="U76" s="76">
        <f t="shared" si="3"/>
        <v>2689123</v>
      </c>
      <c r="V76" s="73">
        <f t="shared" si="4"/>
        <v>0.06004272193696598</v>
      </c>
      <c r="W76" s="54"/>
      <c r="X76" s="53"/>
    </row>
    <row r="77" spans="1:24" ht="12" customHeight="1">
      <c r="A77" s="78" t="s">
        <v>57</v>
      </c>
      <c r="B77" s="77">
        <f t="shared" si="9"/>
        <v>0</v>
      </c>
      <c r="C77" s="77">
        <f t="shared" si="9"/>
        <v>0</v>
      </c>
      <c r="D77" s="77">
        <f t="shared" si="9"/>
        <v>0</v>
      </c>
      <c r="E77" s="77">
        <f t="shared" si="9"/>
        <v>0</v>
      </c>
      <c r="F77" s="77">
        <f t="shared" si="9"/>
        <v>0</v>
      </c>
      <c r="G77" s="77">
        <f t="shared" si="9"/>
        <v>0</v>
      </c>
      <c r="H77" s="77">
        <f t="shared" si="9"/>
        <v>0</v>
      </c>
      <c r="I77" s="77">
        <f t="shared" si="9"/>
        <v>0</v>
      </c>
      <c r="J77" s="77">
        <f t="shared" si="9"/>
        <v>0</v>
      </c>
      <c r="K77" s="77">
        <f t="shared" si="9"/>
        <v>1979</v>
      </c>
      <c r="L77" s="77">
        <f t="shared" si="9"/>
        <v>0</v>
      </c>
      <c r="M77" s="77">
        <f t="shared" si="9"/>
        <v>28257</v>
      </c>
      <c r="N77" s="77">
        <f t="shared" si="9"/>
        <v>0</v>
      </c>
      <c r="O77" s="77">
        <f t="shared" si="9"/>
        <v>189600</v>
      </c>
      <c r="P77" s="77">
        <f t="shared" si="10"/>
        <v>0</v>
      </c>
      <c r="Q77" s="77">
        <f t="shared" si="10"/>
        <v>0</v>
      </c>
      <c r="R77" s="77">
        <f t="shared" si="10"/>
        <v>126387</v>
      </c>
      <c r="S77" s="77">
        <f t="shared" si="11"/>
        <v>346223</v>
      </c>
      <c r="T77" s="77">
        <v>306890</v>
      </c>
      <c r="U77" s="76">
        <f t="shared" si="3"/>
        <v>39333</v>
      </c>
      <c r="V77" s="73">
        <f t="shared" si="4"/>
        <v>0.12816644400273713</v>
      </c>
      <c r="W77" s="54"/>
      <c r="X77" s="53"/>
    </row>
    <row r="78" spans="1:24" ht="12" customHeight="1">
      <c r="A78" s="78" t="s">
        <v>102</v>
      </c>
      <c r="B78" s="77">
        <f t="shared" si="9"/>
        <v>0</v>
      </c>
      <c r="C78" s="77">
        <f aca="true" t="shared" si="12" ref="B78:Q90">SUMIF($A$97:$A$225,$A$12:$A$90,C$97:C$225)</f>
        <v>0</v>
      </c>
      <c r="D78" s="77">
        <f t="shared" si="12"/>
        <v>0</v>
      </c>
      <c r="E78" s="77">
        <f t="shared" si="12"/>
        <v>0</v>
      </c>
      <c r="F78" s="77">
        <f t="shared" si="12"/>
        <v>0</v>
      </c>
      <c r="G78" s="77">
        <f t="shared" si="12"/>
        <v>0</v>
      </c>
      <c r="H78" s="77">
        <f t="shared" si="12"/>
        <v>0</v>
      </c>
      <c r="I78" s="77">
        <f t="shared" si="12"/>
        <v>0</v>
      </c>
      <c r="J78" s="77">
        <f t="shared" si="12"/>
        <v>0</v>
      </c>
      <c r="K78" s="77">
        <f t="shared" si="12"/>
        <v>0</v>
      </c>
      <c r="L78" s="77">
        <f t="shared" si="12"/>
        <v>0</v>
      </c>
      <c r="M78" s="77">
        <f t="shared" si="12"/>
        <v>0</v>
      </c>
      <c r="N78" s="77">
        <f t="shared" si="12"/>
        <v>0</v>
      </c>
      <c r="O78" s="77">
        <f t="shared" si="12"/>
        <v>6540000</v>
      </c>
      <c r="P78" s="77">
        <f t="shared" si="10"/>
        <v>0</v>
      </c>
      <c r="Q78" s="77">
        <f t="shared" si="10"/>
        <v>0</v>
      </c>
      <c r="R78" s="77">
        <f t="shared" si="10"/>
        <v>0</v>
      </c>
      <c r="S78" s="77">
        <f t="shared" si="11"/>
        <v>6540000</v>
      </c>
      <c r="T78" s="77">
        <v>5280000</v>
      </c>
      <c r="U78" s="76">
        <f aca="true" t="shared" si="13" ref="U78:U90">S78-T78</f>
        <v>1260000</v>
      </c>
      <c r="V78" s="73">
        <f aca="true" t="shared" si="14" ref="V78:V90">IF(T78=0,100%,U78/T78)</f>
        <v>0.23863636363636365</v>
      </c>
      <c r="W78" s="54"/>
      <c r="X78" s="53"/>
    </row>
    <row r="79" spans="1:24" ht="12" customHeight="1">
      <c r="A79" s="78" t="s">
        <v>101</v>
      </c>
      <c r="B79" s="77">
        <f t="shared" si="12"/>
        <v>0</v>
      </c>
      <c r="C79" s="77">
        <f t="shared" si="12"/>
        <v>0</v>
      </c>
      <c r="D79" s="77">
        <f t="shared" si="12"/>
        <v>0</v>
      </c>
      <c r="E79" s="77">
        <f t="shared" si="12"/>
        <v>0</v>
      </c>
      <c r="F79" s="77">
        <f t="shared" si="12"/>
        <v>0</v>
      </c>
      <c r="G79" s="77">
        <f t="shared" si="12"/>
        <v>0</v>
      </c>
      <c r="H79" s="77">
        <f t="shared" si="12"/>
        <v>0</v>
      </c>
      <c r="I79" s="77">
        <f t="shared" si="12"/>
        <v>0</v>
      </c>
      <c r="J79" s="77">
        <f t="shared" si="12"/>
        <v>0</v>
      </c>
      <c r="K79" s="77">
        <f t="shared" si="12"/>
        <v>0</v>
      </c>
      <c r="L79" s="77">
        <f t="shared" si="12"/>
        <v>0</v>
      </c>
      <c r="M79" s="77">
        <f t="shared" si="12"/>
        <v>0</v>
      </c>
      <c r="N79" s="77">
        <f t="shared" si="12"/>
        <v>5771724</v>
      </c>
      <c r="O79" s="77">
        <f t="shared" si="12"/>
        <v>0</v>
      </c>
      <c r="P79" s="77">
        <f t="shared" si="10"/>
        <v>0</v>
      </c>
      <c r="Q79" s="77">
        <f t="shared" si="10"/>
        <v>47402416</v>
      </c>
      <c r="R79" s="77">
        <f t="shared" si="10"/>
        <v>2500000</v>
      </c>
      <c r="S79" s="77">
        <f t="shared" si="11"/>
        <v>55674140</v>
      </c>
      <c r="T79" s="77">
        <v>36357146</v>
      </c>
      <c r="U79" s="76">
        <f t="shared" si="13"/>
        <v>19316994</v>
      </c>
      <c r="V79" s="73">
        <f t="shared" si="14"/>
        <v>0.5313121662519935</v>
      </c>
      <c r="W79" s="54"/>
      <c r="X79" s="53"/>
    </row>
    <row r="80" spans="1:24" ht="12" customHeight="1">
      <c r="A80" s="78" t="s">
        <v>100</v>
      </c>
      <c r="B80" s="77">
        <f t="shared" si="12"/>
        <v>0</v>
      </c>
      <c r="C80" s="77">
        <f t="shared" si="12"/>
        <v>0</v>
      </c>
      <c r="D80" s="77">
        <f t="shared" si="12"/>
        <v>0</v>
      </c>
      <c r="E80" s="77">
        <f t="shared" si="12"/>
        <v>0</v>
      </c>
      <c r="F80" s="77">
        <f t="shared" si="12"/>
        <v>0</v>
      </c>
      <c r="G80" s="77">
        <f t="shared" si="12"/>
        <v>0</v>
      </c>
      <c r="H80" s="77">
        <f t="shared" si="12"/>
        <v>0</v>
      </c>
      <c r="I80" s="77">
        <f t="shared" si="12"/>
        <v>0</v>
      </c>
      <c r="J80" s="77">
        <f t="shared" si="12"/>
        <v>0</v>
      </c>
      <c r="K80" s="77">
        <f t="shared" si="12"/>
        <v>0</v>
      </c>
      <c r="L80" s="77">
        <f t="shared" si="12"/>
        <v>0</v>
      </c>
      <c r="M80" s="77">
        <f t="shared" si="12"/>
        <v>0</v>
      </c>
      <c r="N80" s="77">
        <f t="shared" si="12"/>
        <v>2100000</v>
      </c>
      <c r="O80" s="77">
        <f t="shared" si="12"/>
        <v>0</v>
      </c>
      <c r="P80" s="77">
        <f t="shared" si="12"/>
        <v>0</v>
      </c>
      <c r="Q80" s="77">
        <f t="shared" si="12"/>
        <v>0</v>
      </c>
      <c r="R80" s="77">
        <f aca="true" t="shared" si="15" ref="P80:R90">SUMIF($A$97:$A$225,$A$12:$A$90,R$97:R$225)</f>
        <v>225000</v>
      </c>
      <c r="S80" s="77">
        <f t="shared" si="11"/>
        <v>2325000</v>
      </c>
      <c r="T80" s="77">
        <v>3800000</v>
      </c>
      <c r="U80" s="76">
        <f t="shared" si="13"/>
        <v>-1475000</v>
      </c>
      <c r="V80" s="73">
        <f t="shared" si="14"/>
        <v>-0.3881578947368421</v>
      </c>
      <c r="W80" s="54"/>
      <c r="X80" s="53"/>
    </row>
    <row r="81" spans="1:24" ht="12" customHeight="1">
      <c r="A81" s="78" t="s">
        <v>81</v>
      </c>
      <c r="B81" s="77">
        <f t="shared" si="12"/>
        <v>0</v>
      </c>
      <c r="C81" s="77">
        <f t="shared" si="12"/>
        <v>0</v>
      </c>
      <c r="D81" s="77">
        <f t="shared" si="12"/>
        <v>0</v>
      </c>
      <c r="E81" s="77">
        <f t="shared" si="12"/>
        <v>0</v>
      </c>
      <c r="F81" s="77">
        <f t="shared" si="12"/>
        <v>0</v>
      </c>
      <c r="G81" s="77">
        <f t="shared" si="12"/>
        <v>0</v>
      </c>
      <c r="H81" s="77">
        <f t="shared" si="12"/>
        <v>0</v>
      </c>
      <c r="I81" s="77">
        <f t="shared" si="12"/>
        <v>0</v>
      </c>
      <c r="J81" s="77">
        <f t="shared" si="12"/>
        <v>0</v>
      </c>
      <c r="K81" s="77">
        <f t="shared" si="12"/>
        <v>0</v>
      </c>
      <c r="L81" s="77">
        <f t="shared" si="12"/>
        <v>0</v>
      </c>
      <c r="M81" s="77">
        <f t="shared" si="12"/>
        <v>232253</v>
      </c>
      <c r="N81" s="77">
        <f t="shared" si="12"/>
        <v>0</v>
      </c>
      <c r="O81" s="77">
        <f t="shared" si="12"/>
        <v>0</v>
      </c>
      <c r="P81" s="77">
        <f t="shared" si="15"/>
        <v>0</v>
      </c>
      <c r="Q81" s="77">
        <f t="shared" si="15"/>
        <v>0</v>
      </c>
      <c r="R81" s="77">
        <f t="shared" si="15"/>
        <v>0</v>
      </c>
      <c r="S81" s="77">
        <f t="shared" si="11"/>
        <v>232253</v>
      </c>
      <c r="T81" s="77">
        <v>899691</v>
      </c>
      <c r="U81" s="76">
        <f t="shared" si="13"/>
        <v>-667438</v>
      </c>
      <c r="V81" s="73">
        <f t="shared" si="14"/>
        <v>-0.7418524804627367</v>
      </c>
      <c r="W81" s="54"/>
      <c r="X81" s="53"/>
    </row>
    <row r="82" spans="1:24" ht="12" customHeight="1">
      <c r="A82" s="78" t="s">
        <v>64</v>
      </c>
      <c r="B82" s="77">
        <f t="shared" si="12"/>
        <v>0</v>
      </c>
      <c r="C82" s="77">
        <f t="shared" si="12"/>
        <v>0</v>
      </c>
      <c r="D82" s="77">
        <f t="shared" si="12"/>
        <v>0</v>
      </c>
      <c r="E82" s="77">
        <f t="shared" si="12"/>
        <v>0</v>
      </c>
      <c r="F82" s="77">
        <f t="shared" si="12"/>
        <v>0</v>
      </c>
      <c r="G82" s="77">
        <f t="shared" si="12"/>
        <v>0</v>
      </c>
      <c r="H82" s="77">
        <f t="shared" si="12"/>
        <v>0</v>
      </c>
      <c r="I82" s="77">
        <f t="shared" si="12"/>
        <v>0</v>
      </c>
      <c r="J82" s="77">
        <f t="shared" si="12"/>
        <v>0</v>
      </c>
      <c r="K82" s="77">
        <f t="shared" si="12"/>
        <v>0</v>
      </c>
      <c r="L82" s="77">
        <f t="shared" si="12"/>
        <v>0</v>
      </c>
      <c r="M82" s="77">
        <f t="shared" si="12"/>
        <v>24880274</v>
      </c>
      <c r="N82" s="77">
        <f t="shared" si="12"/>
        <v>0</v>
      </c>
      <c r="O82" s="77">
        <f t="shared" si="12"/>
        <v>0</v>
      </c>
      <c r="P82" s="77">
        <f t="shared" si="15"/>
        <v>0</v>
      </c>
      <c r="Q82" s="77">
        <f t="shared" si="15"/>
        <v>0</v>
      </c>
      <c r="R82" s="77">
        <f t="shared" si="15"/>
        <v>0</v>
      </c>
      <c r="S82" s="77">
        <f t="shared" si="11"/>
        <v>24880274</v>
      </c>
      <c r="T82" s="77">
        <v>22693672</v>
      </c>
      <c r="U82" s="76">
        <f t="shared" si="13"/>
        <v>2186602</v>
      </c>
      <c r="V82" s="73">
        <f t="shared" si="14"/>
        <v>0.09635293926870891</v>
      </c>
      <c r="W82" s="54"/>
      <c r="X82" s="53"/>
    </row>
    <row r="83" spans="1:24" ht="12" customHeight="1" hidden="1">
      <c r="A83" s="78" t="s">
        <v>114</v>
      </c>
      <c r="B83" s="77">
        <f t="shared" si="12"/>
        <v>0</v>
      </c>
      <c r="C83" s="77">
        <f t="shared" si="12"/>
        <v>0</v>
      </c>
      <c r="D83" s="77">
        <f t="shared" si="12"/>
        <v>0</v>
      </c>
      <c r="E83" s="77">
        <f t="shared" si="12"/>
        <v>0</v>
      </c>
      <c r="F83" s="77">
        <f t="shared" si="12"/>
        <v>0</v>
      </c>
      <c r="G83" s="77">
        <f t="shared" si="12"/>
        <v>0</v>
      </c>
      <c r="H83" s="77">
        <f t="shared" si="12"/>
        <v>0</v>
      </c>
      <c r="I83" s="77">
        <f t="shared" si="12"/>
        <v>0</v>
      </c>
      <c r="J83" s="77">
        <f t="shared" si="12"/>
        <v>0</v>
      </c>
      <c r="K83" s="77">
        <f t="shared" si="12"/>
        <v>0</v>
      </c>
      <c r="L83" s="77">
        <f t="shared" si="12"/>
        <v>0</v>
      </c>
      <c r="M83" s="77">
        <f t="shared" si="12"/>
        <v>0</v>
      </c>
      <c r="N83" s="77">
        <f t="shared" si="12"/>
        <v>0</v>
      </c>
      <c r="O83" s="77">
        <f t="shared" si="12"/>
        <v>0</v>
      </c>
      <c r="P83" s="77">
        <f t="shared" si="15"/>
        <v>0</v>
      </c>
      <c r="Q83" s="77">
        <f t="shared" si="15"/>
        <v>0</v>
      </c>
      <c r="R83" s="77">
        <f t="shared" si="15"/>
        <v>0</v>
      </c>
      <c r="S83" s="77">
        <f t="shared" si="11"/>
        <v>0</v>
      </c>
      <c r="T83" s="77">
        <v>0</v>
      </c>
      <c r="U83" s="76">
        <f t="shared" si="13"/>
        <v>0</v>
      </c>
      <c r="V83" s="73">
        <f t="shared" si="14"/>
        <v>1</v>
      </c>
      <c r="W83" s="54"/>
      <c r="X83" s="53"/>
    </row>
    <row r="84" spans="1:24" ht="12" customHeight="1">
      <c r="A84" s="78" t="s">
        <v>99</v>
      </c>
      <c r="B84" s="77">
        <f t="shared" si="12"/>
        <v>0</v>
      </c>
      <c r="C84" s="77">
        <f t="shared" si="12"/>
        <v>0</v>
      </c>
      <c r="D84" s="77">
        <f t="shared" si="12"/>
        <v>0</v>
      </c>
      <c r="E84" s="77">
        <f t="shared" si="12"/>
        <v>0</v>
      </c>
      <c r="F84" s="77">
        <f t="shared" si="12"/>
        <v>0</v>
      </c>
      <c r="G84" s="77">
        <f t="shared" si="12"/>
        <v>0</v>
      </c>
      <c r="H84" s="77">
        <f t="shared" si="12"/>
        <v>0</v>
      </c>
      <c r="I84" s="77">
        <f t="shared" si="12"/>
        <v>0</v>
      </c>
      <c r="J84" s="77">
        <f t="shared" si="12"/>
        <v>0</v>
      </c>
      <c r="K84" s="77">
        <f t="shared" si="12"/>
        <v>0</v>
      </c>
      <c r="L84" s="77">
        <f t="shared" si="12"/>
        <v>0</v>
      </c>
      <c r="M84" s="77">
        <f t="shared" si="12"/>
        <v>0</v>
      </c>
      <c r="N84" s="77">
        <f t="shared" si="12"/>
        <v>0</v>
      </c>
      <c r="O84" s="77">
        <f t="shared" si="12"/>
        <v>0</v>
      </c>
      <c r="P84" s="77">
        <f t="shared" si="15"/>
        <v>0</v>
      </c>
      <c r="Q84" s="77">
        <f t="shared" si="15"/>
        <v>2348000</v>
      </c>
      <c r="R84" s="77">
        <f t="shared" si="15"/>
        <v>0</v>
      </c>
      <c r="S84" s="77">
        <f t="shared" si="11"/>
        <v>2348000</v>
      </c>
      <c r="T84" s="77">
        <v>2462413</v>
      </c>
      <c r="U84" s="76">
        <f t="shared" si="13"/>
        <v>-114413</v>
      </c>
      <c r="V84" s="73">
        <f t="shared" si="14"/>
        <v>-0.04646377354245612</v>
      </c>
      <c r="W84" s="54"/>
      <c r="X84" s="53"/>
    </row>
    <row r="85" spans="1:24" ht="12" customHeight="1">
      <c r="A85" s="78" t="s">
        <v>98</v>
      </c>
      <c r="B85" s="77">
        <f t="shared" si="12"/>
        <v>0</v>
      </c>
      <c r="C85" s="77">
        <f t="shared" si="12"/>
        <v>0</v>
      </c>
      <c r="D85" s="77">
        <f t="shared" si="12"/>
        <v>0</v>
      </c>
      <c r="E85" s="77">
        <f t="shared" si="12"/>
        <v>0</v>
      </c>
      <c r="F85" s="77">
        <f t="shared" si="12"/>
        <v>0</v>
      </c>
      <c r="G85" s="77">
        <f t="shared" si="12"/>
        <v>0</v>
      </c>
      <c r="H85" s="77">
        <f t="shared" si="12"/>
        <v>0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5"/>
        <v>0</v>
      </c>
      <c r="Q85" s="77">
        <f t="shared" si="15"/>
        <v>7535300</v>
      </c>
      <c r="R85" s="77">
        <f t="shared" si="15"/>
        <v>0</v>
      </c>
      <c r="S85" s="77">
        <f t="shared" si="11"/>
        <v>7535300</v>
      </c>
      <c r="T85" s="77">
        <v>6919344</v>
      </c>
      <c r="U85" s="76">
        <f t="shared" si="13"/>
        <v>615956</v>
      </c>
      <c r="V85" s="73">
        <f t="shared" si="14"/>
        <v>0.08901942149429194</v>
      </c>
      <c r="W85" s="54"/>
      <c r="X85" s="53"/>
    </row>
    <row r="86" spans="1:24" ht="12" customHeight="1">
      <c r="A86" s="78" t="s">
        <v>97</v>
      </c>
      <c r="B86" s="77">
        <f t="shared" si="12"/>
        <v>0</v>
      </c>
      <c r="C86" s="77">
        <f t="shared" si="12"/>
        <v>0</v>
      </c>
      <c r="D86" s="77">
        <f t="shared" si="12"/>
        <v>0</v>
      </c>
      <c r="E86" s="77">
        <f t="shared" si="12"/>
        <v>0</v>
      </c>
      <c r="F86" s="77">
        <f t="shared" si="12"/>
        <v>0</v>
      </c>
      <c r="G86" s="77">
        <f t="shared" si="12"/>
        <v>0</v>
      </c>
      <c r="H86" s="77">
        <f t="shared" si="12"/>
        <v>0</v>
      </c>
      <c r="I86" s="77">
        <f t="shared" si="12"/>
        <v>0</v>
      </c>
      <c r="J86" s="77">
        <f t="shared" si="12"/>
        <v>0</v>
      </c>
      <c r="K86" s="77">
        <f t="shared" si="12"/>
        <v>0</v>
      </c>
      <c r="L86" s="77">
        <f t="shared" si="12"/>
        <v>0</v>
      </c>
      <c r="M86" s="77">
        <f t="shared" si="12"/>
        <v>0</v>
      </c>
      <c r="N86" s="77">
        <f t="shared" si="12"/>
        <v>0</v>
      </c>
      <c r="O86" s="77">
        <f t="shared" si="12"/>
        <v>0</v>
      </c>
      <c r="P86" s="77">
        <f t="shared" si="15"/>
        <v>0</v>
      </c>
      <c r="Q86" s="77">
        <f t="shared" si="15"/>
        <v>3840449</v>
      </c>
      <c r="R86" s="77">
        <f t="shared" si="15"/>
        <v>0</v>
      </c>
      <c r="S86" s="77">
        <f t="shared" si="11"/>
        <v>3840449</v>
      </c>
      <c r="T86" s="77">
        <v>1045968</v>
      </c>
      <c r="U86" s="76">
        <f t="shared" si="13"/>
        <v>2794481</v>
      </c>
      <c r="V86" s="73">
        <f t="shared" si="14"/>
        <v>2.6716696877915957</v>
      </c>
      <c r="W86" s="54"/>
      <c r="X86" s="53"/>
    </row>
    <row r="87" spans="1:24" ht="12" customHeight="1">
      <c r="A87" s="78" t="s">
        <v>96</v>
      </c>
      <c r="B87" s="77">
        <f t="shared" si="12"/>
        <v>0</v>
      </c>
      <c r="C87" s="77">
        <f t="shared" si="12"/>
        <v>0</v>
      </c>
      <c r="D87" s="77">
        <f t="shared" si="12"/>
        <v>0</v>
      </c>
      <c r="E87" s="77">
        <f t="shared" si="12"/>
        <v>0</v>
      </c>
      <c r="F87" s="77">
        <f t="shared" si="12"/>
        <v>0</v>
      </c>
      <c r="G87" s="77">
        <f t="shared" si="12"/>
        <v>0</v>
      </c>
      <c r="H87" s="77">
        <f t="shared" si="12"/>
        <v>0</v>
      </c>
      <c r="I87" s="77">
        <f t="shared" si="12"/>
        <v>0</v>
      </c>
      <c r="J87" s="77">
        <f t="shared" si="12"/>
        <v>0</v>
      </c>
      <c r="K87" s="77">
        <f t="shared" si="12"/>
        <v>0</v>
      </c>
      <c r="L87" s="77">
        <f t="shared" si="12"/>
        <v>0</v>
      </c>
      <c r="M87" s="77">
        <f t="shared" si="12"/>
        <v>0</v>
      </c>
      <c r="N87" s="77">
        <f t="shared" si="12"/>
        <v>0</v>
      </c>
      <c r="O87" s="77">
        <f t="shared" si="12"/>
        <v>0</v>
      </c>
      <c r="P87" s="77">
        <f t="shared" si="15"/>
        <v>0</v>
      </c>
      <c r="Q87" s="77">
        <f t="shared" si="15"/>
        <v>9669589</v>
      </c>
      <c r="R87" s="77">
        <f t="shared" si="15"/>
        <v>0</v>
      </c>
      <c r="S87" s="77">
        <f t="shared" si="11"/>
        <v>9669589</v>
      </c>
      <c r="T87" s="77">
        <v>14661558</v>
      </c>
      <c r="U87" s="76">
        <f t="shared" si="13"/>
        <v>-4991969</v>
      </c>
      <c r="V87" s="73">
        <f t="shared" si="14"/>
        <v>-0.3404801181429695</v>
      </c>
      <c r="W87" s="54"/>
      <c r="X87" s="53"/>
    </row>
    <row r="88" spans="1:24" ht="12" customHeight="1">
      <c r="A88" s="78" t="s">
        <v>95</v>
      </c>
      <c r="B88" s="77">
        <f t="shared" si="12"/>
        <v>0</v>
      </c>
      <c r="C88" s="77">
        <f t="shared" si="12"/>
        <v>0</v>
      </c>
      <c r="D88" s="77">
        <f t="shared" si="12"/>
        <v>0</v>
      </c>
      <c r="E88" s="77">
        <f t="shared" si="12"/>
        <v>0</v>
      </c>
      <c r="F88" s="77">
        <f t="shared" si="12"/>
        <v>0</v>
      </c>
      <c r="G88" s="77">
        <f t="shared" si="12"/>
        <v>0</v>
      </c>
      <c r="H88" s="77">
        <f t="shared" si="12"/>
        <v>0</v>
      </c>
      <c r="I88" s="77">
        <f t="shared" si="12"/>
        <v>0</v>
      </c>
      <c r="J88" s="77">
        <f t="shared" si="12"/>
        <v>0</v>
      </c>
      <c r="K88" s="77">
        <f t="shared" si="12"/>
        <v>0</v>
      </c>
      <c r="L88" s="77">
        <f t="shared" si="12"/>
        <v>0</v>
      </c>
      <c r="M88" s="77">
        <f t="shared" si="12"/>
        <v>0</v>
      </c>
      <c r="N88" s="77">
        <f t="shared" si="12"/>
        <v>0</v>
      </c>
      <c r="O88" s="77">
        <f t="shared" si="12"/>
        <v>0</v>
      </c>
      <c r="P88" s="77">
        <f t="shared" si="15"/>
        <v>0</v>
      </c>
      <c r="Q88" s="77">
        <f t="shared" si="15"/>
        <v>108529469</v>
      </c>
      <c r="R88" s="77">
        <f t="shared" si="15"/>
        <v>0</v>
      </c>
      <c r="S88" s="77">
        <f t="shared" si="11"/>
        <v>108529469</v>
      </c>
      <c r="T88" s="77">
        <v>75257094</v>
      </c>
      <c r="U88" s="76">
        <f t="shared" si="13"/>
        <v>33272375</v>
      </c>
      <c r="V88" s="73">
        <f t="shared" si="14"/>
        <v>0.4421161279493465</v>
      </c>
      <c r="W88" s="54"/>
      <c r="X88" s="53"/>
    </row>
    <row r="89" spans="1:24" ht="12" customHeight="1">
      <c r="A89" s="78" t="s">
        <v>94</v>
      </c>
      <c r="B89" s="77">
        <f t="shared" si="12"/>
        <v>0</v>
      </c>
      <c r="C89" s="77">
        <f t="shared" si="12"/>
        <v>0</v>
      </c>
      <c r="D89" s="77">
        <f t="shared" si="12"/>
        <v>0</v>
      </c>
      <c r="E89" s="77">
        <f t="shared" si="12"/>
        <v>0</v>
      </c>
      <c r="F89" s="77">
        <f t="shared" si="12"/>
        <v>0</v>
      </c>
      <c r="G89" s="77">
        <f t="shared" si="12"/>
        <v>0</v>
      </c>
      <c r="H89" s="77">
        <f t="shared" si="12"/>
        <v>0</v>
      </c>
      <c r="I89" s="77">
        <f t="shared" si="12"/>
        <v>0</v>
      </c>
      <c r="J89" s="77">
        <f t="shared" si="12"/>
        <v>0</v>
      </c>
      <c r="K89" s="77">
        <f t="shared" si="12"/>
        <v>0</v>
      </c>
      <c r="L89" s="77">
        <f t="shared" si="12"/>
        <v>0</v>
      </c>
      <c r="M89" s="77">
        <f t="shared" si="12"/>
        <v>0</v>
      </c>
      <c r="N89" s="77">
        <f t="shared" si="12"/>
        <v>0</v>
      </c>
      <c r="O89" s="77">
        <f t="shared" si="12"/>
        <v>0</v>
      </c>
      <c r="P89" s="77">
        <f t="shared" si="15"/>
        <v>0</v>
      </c>
      <c r="Q89" s="77">
        <f t="shared" si="15"/>
        <v>604029</v>
      </c>
      <c r="R89" s="77">
        <f t="shared" si="15"/>
        <v>0</v>
      </c>
      <c r="S89" s="77">
        <f t="shared" si="11"/>
        <v>604029</v>
      </c>
      <c r="T89" s="77">
        <v>1159010</v>
      </c>
      <c r="U89" s="76">
        <f t="shared" si="13"/>
        <v>-554981</v>
      </c>
      <c r="V89" s="73">
        <f t="shared" si="14"/>
        <v>-0.47884056220394994</v>
      </c>
      <c r="W89" s="54"/>
      <c r="X89" s="53"/>
    </row>
    <row r="90" spans="1:24" ht="12" customHeight="1">
      <c r="A90" s="78" t="s">
        <v>93</v>
      </c>
      <c r="B90" s="77">
        <f t="shared" si="12"/>
        <v>0</v>
      </c>
      <c r="C90" s="77">
        <f t="shared" si="12"/>
        <v>0</v>
      </c>
      <c r="D90" s="77">
        <f t="shared" si="12"/>
        <v>0</v>
      </c>
      <c r="E90" s="77">
        <f t="shared" si="12"/>
        <v>0</v>
      </c>
      <c r="F90" s="77">
        <f t="shared" si="12"/>
        <v>0</v>
      </c>
      <c r="G90" s="77">
        <f t="shared" si="12"/>
        <v>0</v>
      </c>
      <c r="H90" s="77">
        <f t="shared" si="12"/>
        <v>0</v>
      </c>
      <c r="I90" s="77">
        <f t="shared" si="12"/>
        <v>0</v>
      </c>
      <c r="J90" s="77">
        <f t="shared" si="12"/>
        <v>0</v>
      </c>
      <c r="K90" s="77">
        <f t="shared" si="12"/>
        <v>0</v>
      </c>
      <c r="L90" s="77">
        <f t="shared" si="12"/>
        <v>0</v>
      </c>
      <c r="M90" s="77">
        <f t="shared" si="12"/>
        <v>0</v>
      </c>
      <c r="N90" s="77">
        <f t="shared" si="12"/>
        <v>0</v>
      </c>
      <c r="O90" s="77">
        <f t="shared" si="12"/>
        <v>0</v>
      </c>
      <c r="P90" s="77">
        <f t="shared" si="15"/>
        <v>0</v>
      </c>
      <c r="Q90" s="77">
        <f t="shared" si="15"/>
        <v>2003401</v>
      </c>
      <c r="R90" s="77">
        <f t="shared" si="15"/>
        <v>0</v>
      </c>
      <c r="S90" s="77">
        <f t="shared" si="11"/>
        <v>2003401</v>
      </c>
      <c r="T90" s="77">
        <v>1268706</v>
      </c>
      <c r="U90" s="76">
        <f t="shared" si="13"/>
        <v>734695</v>
      </c>
      <c r="V90" s="73">
        <f t="shared" si="14"/>
        <v>0.5790900334671705</v>
      </c>
      <c r="W90" s="54"/>
      <c r="X90" s="53"/>
    </row>
    <row r="91" spans="1:24" ht="3" customHeight="1" thickBot="1">
      <c r="A91" s="75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3"/>
      <c r="W91" s="54"/>
      <c r="X91" s="53"/>
    </row>
    <row r="92" spans="1:24" ht="12" customHeight="1" thickBot="1">
      <c r="A92" s="72" t="s">
        <v>84</v>
      </c>
      <c r="B92" s="70">
        <f aca="true" t="shared" si="16" ref="B92:R92">SUM(B12:B90)</f>
        <v>1620874</v>
      </c>
      <c r="C92" s="70">
        <f t="shared" si="16"/>
        <v>819833</v>
      </c>
      <c r="D92" s="70">
        <f t="shared" si="16"/>
        <v>185820</v>
      </c>
      <c r="E92" s="70">
        <f t="shared" si="16"/>
        <v>5662818</v>
      </c>
      <c r="F92" s="70">
        <f t="shared" si="16"/>
        <v>0</v>
      </c>
      <c r="G92" s="70">
        <f t="shared" si="16"/>
        <v>1809192</v>
      </c>
      <c r="H92" s="70">
        <f t="shared" si="16"/>
        <v>1516989</v>
      </c>
      <c r="I92" s="70">
        <f t="shared" si="16"/>
        <v>5561601</v>
      </c>
      <c r="J92" s="70">
        <f t="shared" si="16"/>
        <v>1935612</v>
      </c>
      <c r="K92" s="70">
        <f t="shared" si="16"/>
        <v>8713347</v>
      </c>
      <c r="L92" s="70">
        <f t="shared" si="16"/>
        <v>13865152</v>
      </c>
      <c r="M92" s="70">
        <f t="shared" si="16"/>
        <v>96024849</v>
      </c>
      <c r="N92" s="70">
        <f t="shared" si="16"/>
        <v>126019844</v>
      </c>
      <c r="O92" s="70">
        <f t="shared" si="16"/>
        <v>46940276</v>
      </c>
      <c r="P92" s="70">
        <f t="shared" si="16"/>
        <v>1154643</v>
      </c>
      <c r="Q92" s="70">
        <f t="shared" si="16"/>
        <v>203141257</v>
      </c>
      <c r="R92" s="70">
        <f t="shared" si="16"/>
        <v>23682821</v>
      </c>
      <c r="S92" s="71">
        <f>SUM(S12:S90)</f>
        <v>538654928</v>
      </c>
      <c r="T92" s="70">
        <f>SUM(T12:T91)</f>
        <v>472277544</v>
      </c>
      <c r="U92" s="70">
        <f>S92-T92</f>
        <v>66377384</v>
      </c>
      <c r="V92" s="69">
        <f>IF(T92=0,100%,U92/T92)</f>
        <v>0.14054740659022313</v>
      </c>
      <c r="W92" s="54"/>
      <c r="X92" s="53"/>
    </row>
    <row r="93" spans="1:24" ht="4.5" customHeight="1" thickTop="1">
      <c r="A93" s="68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54"/>
      <c r="X93" s="53"/>
    </row>
    <row r="94" spans="1:24" ht="4.5" customHeight="1">
      <c r="A94" s="68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54"/>
      <c r="X94" s="53"/>
    </row>
    <row r="95" spans="1:24" ht="27" customHeight="1" hidden="1">
      <c r="A95" s="68"/>
      <c r="B95" s="67">
        <f>B92-B228</f>
        <v>0</v>
      </c>
      <c r="C95" s="67">
        <f aca="true" t="shared" si="17" ref="C95:S95">C92-C228</f>
        <v>0</v>
      </c>
      <c r="D95" s="67">
        <f t="shared" si="17"/>
        <v>0</v>
      </c>
      <c r="E95" s="67">
        <f t="shared" si="17"/>
        <v>0</v>
      </c>
      <c r="F95" s="67">
        <f t="shared" si="17"/>
        <v>0</v>
      </c>
      <c r="G95" s="67">
        <f t="shared" si="17"/>
        <v>0</v>
      </c>
      <c r="H95" s="67">
        <f t="shared" si="17"/>
        <v>0</v>
      </c>
      <c r="I95" s="67">
        <f t="shared" si="17"/>
        <v>0</v>
      </c>
      <c r="J95" s="67">
        <f t="shared" si="17"/>
        <v>0</v>
      </c>
      <c r="K95" s="67">
        <f t="shared" si="17"/>
        <v>0</v>
      </c>
      <c r="L95" s="67">
        <f t="shared" si="17"/>
        <v>0</v>
      </c>
      <c r="M95" s="67">
        <f t="shared" si="17"/>
        <v>0</v>
      </c>
      <c r="N95" s="67">
        <f t="shared" si="17"/>
        <v>0</v>
      </c>
      <c r="O95" s="67">
        <f t="shared" si="17"/>
        <v>0</v>
      </c>
      <c r="P95" s="67">
        <f t="shared" si="17"/>
        <v>0</v>
      </c>
      <c r="Q95" s="67">
        <f t="shared" si="17"/>
        <v>0</v>
      </c>
      <c r="R95" s="67">
        <f t="shared" si="17"/>
        <v>0</v>
      </c>
      <c r="S95" s="67">
        <f t="shared" si="17"/>
        <v>0</v>
      </c>
      <c r="T95" s="66"/>
      <c r="U95" s="66"/>
      <c r="V95" s="66"/>
      <c r="W95" s="54"/>
      <c r="X95" s="53"/>
    </row>
    <row r="96" spans="1:24" ht="27" customHeight="1" hidden="1">
      <c r="A96" s="68"/>
      <c r="B96" s="67">
        <f aca="true" t="shared" si="18" ref="B96:S96">B92-B228</f>
        <v>0</v>
      </c>
      <c r="C96" s="67">
        <f t="shared" si="18"/>
        <v>0</v>
      </c>
      <c r="D96" s="67">
        <f t="shared" si="18"/>
        <v>0</v>
      </c>
      <c r="E96" s="67">
        <f t="shared" si="18"/>
        <v>0</v>
      </c>
      <c r="F96" s="67">
        <f t="shared" si="18"/>
        <v>0</v>
      </c>
      <c r="G96" s="67">
        <f t="shared" si="18"/>
        <v>0</v>
      </c>
      <c r="H96" s="67">
        <f t="shared" si="18"/>
        <v>0</v>
      </c>
      <c r="I96" s="67">
        <f t="shared" si="18"/>
        <v>0</v>
      </c>
      <c r="J96" s="67">
        <f t="shared" si="18"/>
        <v>0</v>
      </c>
      <c r="K96" s="67">
        <f t="shared" si="18"/>
        <v>0</v>
      </c>
      <c r="L96" s="67">
        <f t="shared" si="18"/>
        <v>0</v>
      </c>
      <c r="M96" s="67">
        <f t="shared" si="18"/>
        <v>0</v>
      </c>
      <c r="N96" s="67">
        <f t="shared" si="18"/>
        <v>0</v>
      </c>
      <c r="O96" s="67">
        <f t="shared" si="18"/>
        <v>0</v>
      </c>
      <c r="P96" s="67">
        <f t="shared" si="18"/>
        <v>0</v>
      </c>
      <c r="Q96" s="67">
        <f t="shared" si="18"/>
        <v>0</v>
      </c>
      <c r="R96" s="67">
        <f t="shared" si="18"/>
        <v>0</v>
      </c>
      <c r="S96" s="67">
        <f t="shared" si="18"/>
        <v>0</v>
      </c>
      <c r="T96" s="66"/>
      <c r="U96" s="66"/>
      <c r="V96" s="66"/>
      <c r="W96" s="54"/>
      <c r="X96" s="53"/>
    </row>
    <row r="97" spans="1:22" s="65" customFormat="1" ht="27.75" hidden="1">
      <c r="A97" s="92" t="s">
        <v>0</v>
      </c>
      <c r="B97" s="43" t="s">
        <v>1</v>
      </c>
      <c r="C97" s="43" t="s">
        <v>2</v>
      </c>
      <c r="D97" s="43" t="s">
        <v>3</v>
      </c>
      <c r="E97" s="43" t="s">
        <v>4</v>
      </c>
      <c r="F97" s="43" t="s">
        <v>5</v>
      </c>
      <c r="G97" s="43" t="s">
        <v>6</v>
      </c>
      <c r="H97" s="43" t="s">
        <v>7</v>
      </c>
      <c r="I97" s="43" t="s">
        <v>8</v>
      </c>
      <c r="J97" s="43" t="s">
        <v>9</v>
      </c>
      <c r="K97" s="43" t="s">
        <v>10</v>
      </c>
      <c r="L97" s="43" t="s">
        <v>11</v>
      </c>
      <c r="M97" s="43" t="s">
        <v>12</v>
      </c>
      <c r="N97" s="43" t="s">
        <v>13</v>
      </c>
      <c r="O97" s="43" t="s">
        <v>14</v>
      </c>
      <c r="P97" s="43" t="s">
        <v>15</v>
      </c>
      <c r="Q97" s="43" t="s">
        <v>16</v>
      </c>
      <c r="R97" s="43" t="s">
        <v>17</v>
      </c>
      <c r="S97" s="43" t="s">
        <v>18</v>
      </c>
      <c r="T97" s="43" t="s">
        <v>19</v>
      </c>
      <c r="U97" s="44" t="s">
        <v>20</v>
      </c>
      <c r="V97" s="44" t="s">
        <v>21</v>
      </c>
    </row>
    <row r="98" spans="1:24" ht="6.75" customHeight="1" hidden="1" thickBot="1">
      <c r="A98" s="4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54"/>
      <c r="X98" s="53"/>
    </row>
    <row r="99" spans="1:24" ht="12.75" hidden="1" outlineLevel="1">
      <c r="A99" s="46" t="s">
        <v>22</v>
      </c>
      <c r="B99" s="15">
        <v>1203602</v>
      </c>
      <c r="C99" s="15">
        <v>353872</v>
      </c>
      <c r="D99" s="15">
        <v>85832</v>
      </c>
      <c r="E99" s="15">
        <v>828598</v>
      </c>
      <c r="F99" s="15">
        <v>0</v>
      </c>
      <c r="G99" s="15">
        <v>904010</v>
      </c>
      <c r="H99" s="15">
        <v>681496</v>
      </c>
      <c r="I99" s="15">
        <v>686610</v>
      </c>
      <c r="J99" s="15">
        <v>1461106</v>
      </c>
      <c r="K99" s="15">
        <v>1332997</v>
      </c>
      <c r="L99" s="15">
        <v>0</v>
      </c>
      <c r="M99" s="15">
        <v>10738259</v>
      </c>
      <c r="N99" s="15">
        <v>6851702</v>
      </c>
      <c r="O99" s="15">
        <v>9048031</v>
      </c>
      <c r="P99" s="15">
        <v>808612</v>
      </c>
      <c r="Q99" s="15">
        <v>2336749</v>
      </c>
      <c r="R99" s="15">
        <v>5702934</v>
      </c>
      <c r="S99" s="15">
        <v>43024410</v>
      </c>
      <c r="T99" s="15">
        <v>41566549</v>
      </c>
      <c r="U99" s="15">
        <v>1457861</v>
      </c>
      <c r="V99" s="47">
        <v>3.5</v>
      </c>
      <c r="W99" s="54"/>
      <c r="X99" s="53"/>
    </row>
    <row r="100" spans="1:24" ht="12.75" hidden="1" outlineLevel="1">
      <c r="A100" s="46" t="s">
        <v>24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47270</v>
      </c>
      <c r="H100" s="19">
        <v>0</v>
      </c>
      <c r="I100" s="19">
        <v>128045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175315</v>
      </c>
      <c r="T100" s="19">
        <v>174760</v>
      </c>
      <c r="U100" s="19">
        <v>555</v>
      </c>
      <c r="V100" s="47">
        <v>0.3</v>
      </c>
      <c r="W100" s="54"/>
      <c r="X100" s="53"/>
    </row>
    <row r="101" spans="1:24" ht="12.75" hidden="1" outlineLevel="1">
      <c r="A101" s="46" t="s">
        <v>25</v>
      </c>
      <c r="B101" s="19">
        <v>456</v>
      </c>
      <c r="C101" s="19">
        <v>0</v>
      </c>
      <c r="D101" s="19">
        <v>0</v>
      </c>
      <c r="E101" s="19">
        <v>0</v>
      </c>
      <c r="F101" s="19">
        <v>0</v>
      </c>
      <c r="G101" s="19">
        <v>2396</v>
      </c>
      <c r="H101" s="19">
        <v>0</v>
      </c>
      <c r="I101" s="19">
        <v>0</v>
      </c>
      <c r="J101" s="19">
        <v>1947</v>
      </c>
      <c r="K101" s="19">
        <v>1554</v>
      </c>
      <c r="L101" s="19">
        <v>0</v>
      </c>
      <c r="M101" s="19">
        <v>366132</v>
      </c>
      <c r="N101" s="19">
        <v>85663</v>
      </c>
      <c r="O101" s="19">
        <v>340000</v>
      </c>
      <c r="P101" s="19">
        <v>0</v>
      </c>
      <c r="Q101" s="19">
        <v>0</v>
      </c>
      <c r="R101" s="19">
        <v>23028</v>
      </c>
      <c r="S101" s="19">
        <v>821176</v>
      </c>
      <c r="T101" s="19">
        <v>821176</v>
      </c>
      <c r="U101" s="19">
        <v>0</v>
      </c>
      <c r="V101" s="47">
        <v>0</v>
      </c>
      <c r="W101" s="54"/>
      <c r="X101" s="53"/>
    </row>
    <row r="102" spans="1:24" ht="12.75" hidden="1" outlineLevel="1">
      <c r="A102" s="46" t="s">
        <v>26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8754657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8754657</v>
      </c>
      <c r="T102" s="19">
        <v>9161931</v>
      </c>
      <c r="U102" s="19">
        <v>-407274</v>
      </c>
      <c r="V102" s="47">
        <v>-4.4</v>
      </c>
      <c r="W102" s="54"/>
      <c r="X102" s="53"/>
    </row>
    <row r="103" spans="1:24" ht="12.75" hidden="1" outlineLevel="1">
      <c r="A103" s="46" t="s">
        <v>27</v>
      </c>
      <c r="B103" s="19">
        <v>151085</v>
      </c>
      <c r="C103" s="19">
        <v>35754</v>
      </c>
      <c r="D103" s="19">
        <v>10875</v>
      </c>
      <c r="E103" s="19">
        <v>106230</v>
      </c>
      <c r="F103" s="19">
        <v>0</v>
      </c>
      <c r="G103" s="19">
        <v>114688</v>
      </c>
      <c r="H103" s="19">
        <v>85868</v>
      </c>
      <c r="I103" s="19">
        <v>84889</v>
      </c>
      <c r="J103" s="19">
        <v>185140</v>
      </c>
      <c r="K103" s="19">
        <v>167663</v>
      </c>
      <c r="L103" s="19">
        <v>0</v>
      </c>
      <c r="M103" s="19">
        <v>1353062</v>
      </c>
      <c r="N103" s="19">
        <v>872943</v>
      </c>
      <c r="O103" s="19">
        <v>1149679</v>
      </c>
      <c r="P103" s="19">
        <v>99546</v>
      </c>
      <c r="Q103" s="19">
        <v>291978</v>
      </c>
      <c r="R103" s="19">
        <v>725806</v>
      </c>
      <c r="S103" s="19">
        <v>5435206</v>
      </c>
      <c r="T103" s="19">
        <v>5529824</v>
      </c>
      <c r="U103" s="19">
        <v>-94619</v>
      </c>
      <c r="V103" s="47">
        <v>-1.7</v>
      </c>
      <c r="W103" s="54"/>
      <c r="X103" s="53"/>
    </row>
    <row r="104" spans="1:24" ht="12.75" hidden="1" outlineLevel="1">
      <c r="A104" s="46" t="s">
        <v>28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5994</v>
      </c>
      <c r="H104" s="19">
        <v>0</v>
      </c>
      <c r="I104" s="19">
        <v>16236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22230</v>
      </c>
      <c r="T104" s="19">
        <v>23085</v>
      </c>
      <c r="U104" s="19">
        <v>-855</v>
      </c>
      <c r="V104" s="47">
        <v>-3.7</v>
      </c>
      <c r="W104" s="54"/>
      <c r="X104" s="53"/>
    </row>
    <row r="105" spans="1:24" ht="12.75" hidden="1" outlineLevel="1">
      <c r="A105" s="46" t="s">
        <v>30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31575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31575</v>
      </c>
      <c r="T105" s="19">
        <v>31575</v>
      </c>
      <c r="U105" s="19">
        <v>0</v>
      </c>
      <c r="V105" s="47">
        <v>0</v>
      </c>
      <c r="W105" s="54"/>
      <c r="X105" s="53"/>
    </row>
    <row r="106" spans="1:24" ht="12.75" hidden="1" outlineLevel="1">
      <c r="A106" s="46" t="s">
        <v>31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227386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227386</v>
      </c>
      <c r="T106" s="19">
        <v>227386</v>
      </c>
      <c r="U106" s="19">
        <v>0</v>
      </c>
      <c r="V106" s="47">
        <v>0</v>
      </c>
      <c r="W106" s="54"/>
      <c r="X106" s="53"/>
    </row>
    <row r="107" spans="1:24" ht="12.75" hidden="1" outlineLevel="1">
      <c r="A107" s="46" t="s">
        <v>32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3100000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3100000</v>
      </c>
      <c r="T107" s="19">
        <v>0</v>
      </c>
      <c r="U107" s="19">
        <v>3100000</v>
      </c>
      <c r="V107" s="47">
        <v>100</v>
      </c>
      <c r="W107" s="54"/>
      <c r="X107" s="53"/>
    </row>
    <row r="108" spans="1:24" ht="12.75" hidden="1" outlineLevel="1">
      <c r="A108" s="46" t="s">
        <v>33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327941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327941</v>
      </c>
      <c r="T108" s="19">
        <v>382573</v>
      </c>
      <c r="U108" s="19">
        <v>-54632</v>
      </c>
      <c r="V108" s="47">
        <v>-14.3</v>
      </c>
      <c r="W108" s="54"/>
      <c r="X108" s="53"/>
    </row>
    <row r="109" spans="1:24" ht="12.75" hidden="1" outlineLevel="1">
      <c r="A109" s="46" t="s">
        <v>72</v>
      </c>
      <c r="B109" s="19">
        <v>2308</v>
      </c>
      <c r="C109" s="19">
        <v>2382</v>
      </c>
      <c r="D109" s="19">
        <v>59697</v>
      </c>
      <c r="E109" s="19">
        <v>0</v>
      </c>
      <c r="F109" s="19">
        <v>0</v>
      </c>
      <c r="G109" s="19">
        <v>8418</v>
      </c>
      <c r="H109" s="19">
        <v>646</v>
      </c>
      <c r="I109" s="19">
        <v>600</v>
      </c>
      <c r="J109" s="19">
        <v>1571</v>
      </c>
      <c r="K109" s="19">
        <v>12941</v>
      </c>
      <c r="L109" s="19">
        <v>0</v>
      </c>
      <c r="M109" s="19">
        <v>30525</v>
      </c>
      <c r="N109" s="19">
        <v>0</v>
      </c>
      <c r="O109" s="19">
        <v>6100</v>
      </c>
      <c r="P109" s="19">
        <v>2013</v>
      </c>
      <c r="Q109" s="19">
        <v>0</v>
      </c>
      <c r="R109" s="19">
        <v>0</v>
      </c>
      <c r="S109" s="19">
        <v>127201</v>
      </c>
      <c r="T109" s="19">
        <v>126232</v>
      </c>
      <c r="U109" s="19">
        <v>969</v>
      </c>
      <c r="V109" s="47">
        <v>0.8</v>
      </c>
      <c r="W109" s="54"/>
      <c r="X109" s="53"/>
    </row>
    <row r="110" spans="1:24" ht="12.75" hidden="1" outlineLevel="1">
      <c r="A110" s="46" t="s">
        <v>35</v>
      </c>
      <c r="B110" s="19">
        <v>1023</v>
      </c>
      <c r="C110" s="19">
        <v>273641</v>
      </c>
      <c r="D110" s="19">
        <v>0</v>
      </c>
      <c r="E110" s="19">
        <v>727374</v>
      </c>
      <c r="F110" s="19">
        <v>0</v>
      </c>
      <c r="G110" s="19">
        <v>162551</v>
      </c>
      <c r="H110" s="19">
        <v>197763</v>
      </c>
      <c r="I110" s="19">
        <v>0</v>
      </c>
      <c r="J110" s="19">
        <v>2030</v>
      </c>
      <c r="K110" s="19">
        <v>1807752</v>
      </c>
      <c r="L110" s="19">
        <v>0</v>
      </c>
      <c r="M110" s="19">
        <v>9675338</v>
      </c>
      <c r="N110" s="19">
        <v>3100000</v>
      </c>
      <c r="O110" s="19">
        <v>300000</v>
      </c>
      <c r="P110" s="19">
        <v>0</v>
      </c>
      <c r="Q110" s="19">
        <v>33080</v>
      </c>
      <c r="R110" s="19">
        <v>82852</v>
      </c>
      <c r="S110" s="19">
        <v>16363404</v>
      </c>
      <c r="T110" s="19">
        <v>16123381</v>
      </c>
      <c r="U110" s="19">
        <v>240023</v>
      </c>
      <c r="V110" s="47">
        <v>1.5</v>
      </c>
      <c r="W110" s="54"/>
      <c r="X110" s="53"/>
    </row>
    <row r="111" spans="1:24" ht="12.75" hidden="1" outlineLevel="1">
      <c r="A111" s="46" t="s">
        <v>36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4336669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4336669</v>
      </c>
      <c r="T111" s="19">
        <v>4318669</v>
      </c>
      <c r="U111" s="19">
        <v>18000</v>
      </c>
      <c r="V111" s="47">
        <v>0.4</v>
      </c>
      <c r="W111" s="54"/>
      <c r="X111" s="53"/>
    </row>
    <row r="112" spans="1:24" ht="12.75" hidden="1" outlineLevel="1">
      <c r="A112" s="46" t="s">
        <v>37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310699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310699</v>
      </c>
      <c r="T112" s="19">
        <v>302699</v>
      </c>
      <c r="U112" s="19">
        <v>8000</v>
      </c>
      <c r="V112" s="47">
        <v>2.6</v>
      </c>
      <c r="W112" s="54"/>
      <c r="X112" s="53"/>
    </row>
    <row r="113" spans="1:24" ht="12.75" hidden="1" outlineLevel="1">
      <c r="A113" s="46" t="s">
        <v>38</v>
      </c>
      <c r="B113" s="19">
        <v>0</v>
      </c>
      <c r="C113" s="19">
        <v>0</v>
      </c>
      <c r="D113" s="19">
        <v>0</v>
      </c>
      <c r="E113" s="19">
        <v>535399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535399</v>
      </c>
      <c r="T113" s="19">
        <v>535399</v>
      </c>
      <c r="U113" s="19">
        <v>0</v>
      </c>
      <c r="V113" s="47">
        <v>0</v>
      </c>
      <c r="W113" s="54"/>
      <c r="X113" s="53"/>
    </row>
    <row r="114" spans="1:24" ht="12.75" hidden="1" outlineLevel="1">
      <c r="A114" s="46" t="s">
        <v>82</v>
      </c>
      <c r="B114" s="19">
        <v>0</v>
      </c>
      <c r="C114" s="19">
        <v>0</v>
      </c>
      <c r="D114" s="19">
        <v>0</v>
      </c>
      <c r="E114" s="19">
        <v>91000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91000</v>
      </c>
      <c r="T114" s="19">
        <v>116000</v>
      </c>
      <c r="U114" s="19">
        <v>-25000</v>
      </c>
      <c r="V114" s="47">
        <v>-21.6</v>
      </c>
      <c r="W114" s="54"/>
      <c r="X114" s="53"/>
    </row>
    <row r="115" spans="1:24" ht="12.75" hidden="1" outlineLevel="1">
      <c r="A115" s="46" t="s">
        <v>113</v>
      </c>
      <c r="B115" s="19">
        <v>0</v>
      </c>
      <c r="C115" s="19">
        <v>0</v>
      </c>
      <c r="D115" s="19">
        <v>0</v>
      </c>
      <c r="E115" s="19">
        <v>2180167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2180167</v>
      </c>
      <c r="T115" s="19">
        <v>2180167</v>
      </c>
      <c r="U115" s="19">
        <v>0</v>
      </c>
      <c r="V115" s="47">
        <v>0</v>
      </c>
      <c r="W115" s="54"/>
      <c r="X115" s="53"/>
    </row>
    <row r="116" spans="1:24" ht="12.75" hidden="1" outlineLevel="1">
      <c r="A116" s="46" t="s">
        <v>39</v>
      </c>
      <c r="B116" s="19">
        <v>0</v>
      </c>
      <c r="C116" s="19">
        <v>0</v>
      </c>
      <c r="D116" s="19">
        <v>0</v>
      </c>
      <c r="E116" s="19">
        <v>988199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850000</v>
      </c>
      <c r="S116" s="19">
        <v>1838199</v>
      </c>
      <c r="T116" s="19">
        <v>2338199</v>
      </c>
      <c r="U116" s="19">
        <v>-500000</v>
      </c>
      <c r="V116" s="47">
        <v>-21.4</v>
      </c>
      <c r="W116" s="54"/>
      <c r="X116" s="53"/>
    </row>
    <row r="117" spans="1:24" ht="12.75" hidden="1" outlineLevel="1">
      <c r="A117" s="46" t="s">
        <v>40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8985742</v>
      </c>
      <c r="S117" s="19">
        <v>8985742</v>
      </c>
      <c r="T117" s="19">
        <v>8985742</v>
      </c>
      <c r="U117" s="19">
        <v>0</v>
      </c>
      <c r="V117" s="47">
        <v>0</v>
      </c>
      <c r="W117" s="54"/>
      <c r="X117" s="53"/>
    </row>
    <row r="118" spans="1:24" ht="12.75" hidden="1" outlineLevel="1">
      <c r="A118" s="46" t="s">
        <v>41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59627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59627</v>
      </c>
      <c r="T118" s="19">
        <v>39827</v>
      </c>
      <c r="U118" s="19">
        <v>19800</v>
      </c>
      <c r="V118" s="47">
        <v>49.7</v>
      </c>
      <c r="W118" s="54"/>
      <c r="X118" s="53"/>
    </row>
    <row r="119" spans="1:24" ht="12.75" hidden="1" outlineLevel="1">
      <c r="A119" s="46" t="s">
        <v>45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8015547</v>
      </c>
      <c r="O119" s="19">
        <v>13688299</v>
      </c>
      <c r="P119" s="19">
        <v>0</v>
      </c>
      <c r="Q119" s="19">
        <v>0</v>
      </c>
      <c r="R119" s="19">
        <v>55136</v>
      </c>
      <c r="S119" s="19">
        <v>21758982</v>
      </c>
      <c r="T119" s="19">
        <v>20430896</v>
      </c>
      <c r="U119" s="19">
        <v>1328086</v>
      </c>
      <c r="V119" s="47">
        <v>6.5</v>
      </c>
      <c r="W119" s="54"/>
      <c r="X119" s="53"/>
    </row>
    <row r="120" spans="1:24" ht="12.75" hidden="1" outlineLevel="1">
      <c r="A120" s="46" t="s">
        <v>112</v>
      </c>
      <c r="B120" s="19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2575051</v>
      </c>
      <c r="R120" s="19">
        <v>0</v>
      </c>
      <c r="S120" s="19">
        <v>2575051</v>
      </c>
      <c r="T120" s="19">
        <v>2467810</v>
      </c>
      <c r="U120" s="19">
        <v>107241</v>
      </c>
      <c r="V120" s="47">
        <v>4.3</v>
      </c>
      <c r="W120" s="54"/>
      <c r="X120" s="53"/>
    </row>
    <row r="121" spans="1:24" ht="12.75" hidden="1" outlineLevel="1">
      <c r="A121" s="46" t="s">
        <v>111</v>
      </c>
      <c r="B121" s="19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15132202</v>
      </c>
      <c r="O121" s="19">
        <v>0</v>
      </c>
      <c r="P121" s="19">
        <v>0</v>
      </c>
      <c r="Q121" s="19">
        <v>1603832</v>
      </c>
      <c r="R121" s="19">
        <v>0</v>
      </c>
      <c r="S121" s="19">
        <v>16736034</v>
      </c>
      <c r="T121" s="19">
        <v>16247541</v>
      </c>
      <c r="U121" s="19">
        <v>488493</v>
      </c>
      <c r="V121" s="47">
        <v>3</v>
      </c>
      <c r="W121" s="54"/>
      <c r="X121" s="53"/>
    </row>
    <row r="122" spans="1:24" ht="12.75" hidden="1" outlineLevel="1">
      <c r="A122" s="46" t="s">
        <v>46</v>
      </c>
      <c r="B122" s="19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631500</v>
      </c>
      <c r="P122" s="19">
        <v>0</v>
      </c>
      <c r="Q122" s="19">
        <v>0</v>
      </c>
      <c r="R122" s="19">
        <v>0</v>
      </c>
      <c r="S122" s="19">
        <v>631500</v>
      </c>
      <c r="T122" s="19">
        <v>387820</v>
      </c>
      <c r="U122" s="19">
        <v>243680</v>
      </c>
      <c r="V122" s="47">
        <v>62.8</v>
      </c>
      <c r="W122" s="54"/>
      <c r="X122" s="53"/>
    </row>
    <row r="123" spans="1:24" ht="12.75" hidden="1" outlineLevel="1">
      <c r="A123" s="46" t="s">
        <v>110</v>
      </c>
      <c r="B123" s="19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1316000</v>
      </c>
      <c r="R123" s="19">
        <v>0</v>
      </c>
      <c r="S123" s="19">
        <v>1316000</v>
      </c>
      <c r="T123" s="19">
        <v>1015000</v>
      </c>
      <c r="U123" s="19">
        <v>301000</v>
      </c>
      <c r="V123" s="47">
        <v>29.7</v>
      </c>
      <c r="W123" s="54"/>
      <c r="X123" s="53"/>
    </row>
    <row r="124" spans="1:24" ht="12.75" hidden="1" outlineLevel="1">
      <c r="A124" s="46" t="s">
        <v>109</v>
      </c>
      <c r="B124" s="19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1270500</v>
      </c>
      <c r="R124" s="19">
        <v>0</v>
      </c>
      <c r="S124" s="19">
        <v>1270500</v>
      </c>
      <c r="T124" s="19">
        <v>1357500</v>
      </c>
      <c r="U124" s="19">
        <v>-87000</v>
      </c>
      <c r="V124" s="47">
        <v>-6.4</v>
      </c>
      <c r="W124" s="54"/>
      <c r="X124" s="53"/>
    </row>
    <row r="125" spans="1:24" ht="12.75" hidden="1" outlineLevel="1">
      <c r="A125" s="46" t="s">
        <v>108</v>
      </c>
      <c r="B125" s="19">
        <v>0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7544999</v>
      </c>
      <c r="R125" s="19">
        <v>0</v>
      </c>
      <c r="S125" s="19">
        <v>7544999</v>
      </c>
      <c r="T125" s="19">
        <v>10925000</v>
      </c>
      <c r="U125" s="19">
        <v>-3380001</v>
      </c>
      <c r="V125" s="47">
        <v>-30.9</v>
      </c>
      <c r="W125" s="54"/>
      <c r="X125" s="53"/>
    </row>
    <row r="126" spans="1:24" ht="12.75" hidden="1" outlineLevel="1">
      <c r="A126" s="46" t="s">
        <v>107</v>
      </c>
      <c r="B126" s="19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4170000</v>
      </c>
      <c r="R126" s="19">
        <v>0</v>
      </c>
      <c r="S126" s="19">
        <v>4170000</v>
      </c>
      <c r="T126" s="19">
        <v>1142500</v>
      </c>
      <c r="U126" s="19">
        <v>3027500</v>
      </c>
      <c r="V126" s="47">
        <v>265</v>
      </c>
      <c r="W126" s="54"/>
      <c r="X126" s="53"/>
    </row>
    <row r="127" spans="1:24" ht="12.75" hidden="1" outlineLevel="1">
      <c r="A127" s="46" t="s">
        <v>47</v>
      </c>
      <c r="B127" s="19">
        <v>0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163595</v>
      </c>
      <c r="N127" s="19">
        <v>0</v>
      </c>
      <c r="O127" s="19">
        <v>259556</v>
      </c>
      <c r="P127" s="19">
        <v>0</v>
      </c>
      <c r="Q127" s="19">
        <v>0</v>
      </c>
      <c r="R127" s="19">
        <v>0</v>
      </c>
      <c r="S127" s="19">
        <v>423151</v>
      </c>
      <c r="T127" s="19">
        <v>509151</v>
      </c>
      <c r="U127" s="19">
        <v>-86000</v>
      </c>
      <c r="V127" s="47">
        <v>-16.9</v>
      </c>
      <c r="W127" s="54"/>
      <c r="X127" s="53"/>
    </row>
    <row r="128" spans="1:24" ht="12.75" hidden="1" outlineLevel="1">
      <c r="A128" s="46" t="s">
        <v>48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55822</v>
      </c>
      <c r="N128" s="19">
        <v>0</v>
      </c>
      <c r="O128" s="19">
        <v>90350</v>
      </c>
      <c r="P128" s="19">
        <v>0</v>
      </c>
      <c r="Q128" s="19">
        <v>0</v>
      </c>
      <c r="R128" s="19">
        <v>0</v>
      </c>
      <c r="S128" s="19">
        <v>146172</v>
      </c>
      <c r="T128" s="19">
        <v>280650</v>
      </c>
      <c r="U128" s="19">
        <v>-134478</v>
      </c>
      <c r="V128" s="47">
        <v>-47.9</v>
      </c>
      <c r="W128" s="54"/>
      <c r="X128" s="53"/>
    </row>
    <row r="129" spans="1:24" ht="12.75" hidden="1" outlineLevel="1">
      <c r="A129" s="46" t="s">
        <v>73</v>
      </c>
      <c r="B129" s="19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2349211</v>
      </c>
      <c r="S129" s="19">
        <v>2349211</v>
      </c>
      <c r="T129" s="19">
        <v>1774172</v>
      </c>
      <c r="U129" s="19">
        <v>575039</v>
      </c>
      <c r="V129" s="47">
        <v>32.4</v>
      </c>
      <c r="W129" s="54"/>
      <c r="X129" s="53"/>
    </row>
    <row r="130" spans="1:24" ht="12.75" hidden="1" outlineLevel="1">
      <c r="A130" s="46" t="s">
        <v>58</v>
      </c>
      <c r="B130" s="19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100</v>
      </c>
      <c r="I130" s="19">
        <v>0</v>
      </c>
      <c r="J130" s="19">
        <v>0</v>
      </c>
      <c r="K130" s="19">
        <v>0</v>
      </c>
      <c r="L130" s="19">
        <v>0</v>
      </c>
      <c r="M130" s="19">
        <v>10668192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10668292</v>
      </c>
      <c r="T130" s="19">
        <v>10380954</v>
      </c>
      <c r="U130" s="19">
        <v>287338</v>
      </c>
      <c r="V130" s="47">
        <v>2.8</v>
      </c>
      <c r="W130" s="54"/>
      <c r="X130" s="53"/>
    </row>
    <row r="131" spans="1:24" ht="12.75" hidden="1" outlineLevel="1">
      <c r="A131" s="46" t="s">
        <v>59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1364758</v>
      </c>
      <c r="O131" s="19">
        <v>0</v>
      </c>
      <c r="P131" s="19">
        <v>0</v>
      </c>
      <c r="Q131" s="19">
        <v>0</v>
      </c>
      <c r="R131" s="19">
        <v>0</v>
      </c>
      <c r="S131" s="19">
        <v>1364758</v>
      </c>
      <c r="T131" s="19">
        <v>1364758</v>
      </c>
      <c r="U131" s="19">
        <v>0</v>
      </c>
      <c r="V131" s="47">
        <v>0</v>
      </c>
      <c r="W131" s="54"/>
      <c r="X131" s="53"/>
    </row>
    <row r="132" spans="1:24" ht="12.75" hidden="1" outlineLevel="1">
      <c r="A132" s="46" t="s">
        <v>65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47958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47958</v>
      </c>
      <c r="T132" s="19">
        <v>40416</v>
      </c>
      <c r="U132" s="19">
        <v>7542</v>
      </c>
      <c r="V132" s="47">
        <v>18.7</v>
      </c>
      <c r="W132" s="54"/>
      <c r="X132" s="53"/>
    </row>
    <row r="133" spans="1:24" ht="12.75" hidden="1" outlineLevel="1">
      <c r="A133" s="46" t="s">
        <v>42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157820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157820</v>
      </c>
      <c r="T133" s="19">
        <v>157820</v>
      </c>
      <c r="U133" s="19">
        <v>0</v>
      </c>
      <c r="V133" s="47">
        <v>0</v>
      </c>
      <c r="W133" s="54"/>
      <c r="X133" s="53"/>
    </row>
    <row r="134" spans="1:24" ht="12.75" hidden="1" outlineLevel="1">
      <c r="A134" s="46" t="s">
        <v>66</v>
      </c>
      <c r="B134" s="19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1426601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1426601</v>
      </c>
      <c r="T134" s="19">
        <v>1426601</v>
      </c>
      <c r="U134" s="19">
        <v>0</v>
      </c>
      <c r="V134" s="47">
        <v>0</v>
      </c>
      <c r="W134" s="54"/>
      <c r="X134" s="53"/>
    </row>
    <row r="135" spans="1:24" ht="12.75" hidden="1" outlineLevel="1">
      <c r="A135" s="46" t="s">
        <v>67</v>
      </c>
      <c r="B135" s="19">
        <v>0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1019697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1019697</v>
      </c>
      <c r="T135" s="19">
        <v>1019697</v>
      </c>
      <c r="U135" s="19">
        <v>0</v>
      </c>
      <c r="V135" s="47">
        <v>0</v>
      </c>
      <c r="W135" s="54"/>
      <c r="X135" s="53"/>
    </row>
    <row r="136" spans="1:24" ht="12.75" hidden="1" outlineLevel="1">
      <c r="A136" s="46" t="s">
        <v>68</v>
      </c>
      <c r="B136" s="19">
        <v>280</v>
      </c>
      <c r="C136" s="19">
        <v>15246</v>
      </c>
      <c r="D136" s="19">
        <v>0</v>
      </c>
      <c r="E136" s="19">
        <v>0</v>
      </c>
      <c r="F136" s="19">
        <v>0</v>
      </c>
      <c r="G136" s="19">
        <v>81057</v>
      </c>
      <c r="H136" s="19">
        <v>0</v>
      </c>
      <c r="I136" s="19">
        <v>0</v>
      </c>
      <c r="J136" s="19">
        <v>69488</v>
      </c>
      <c r="K136" s="19">
        <v>1003733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7636</v>
      </c>
      <c r="S136" s="19">
        <v>1177440</v>
      </c>
      <c r="T136" s="19">
        <v>1172940</v>
      </c>
      <c r="U136" s="19">
        <v>4500</v>
      </c>
      <c r="V136" s="47">
        <v>0.4</v>
      </c>
      <c r="W136" s="54"/>
      <c r="X136" s="53"/>
    </row>
    <row r="137" spans="1:24" ht="12.75" hidden="1" outlineLevel="1">
      <c r="A137" s="46" t="s">
        <v>74</v>
      </c>
      <c r="B137" s="19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1752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1752</v>
      </c>
      <c r="T137" s="19">
        <v>1752</v>
      </c>
      <c r="U137" s="19">
        <v>0</v>
      </c>
      <c r="V137" s="47">
        <v>0</v>
      </c>
      <c r="W137" s="54"/>
      <c r="X137" s="53"/>
    </row>
    <row r="138" spans="1:24" ht="12.75" hidden="1" outlineLevel="1">
      <c r="A138" s="46" t="s">
        <v>69</v>
      </c>
      <c r="B138" s="19">
        <v>4000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1122</v>
      </c>
      <c r="K138" s="19">
        <v>8177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13299</v>
      </c>
      <c r="T138" s="19">
        <v>9299</v>
      </c>
      <c r="U138" s="19">
        <v>4000</v>
      </c>
      <c r="V138" s="47">
        <v>43</v>
      </c>
      <c r="W138" s="54"/>
      <c r="X138" s="53"/>
    </row>
    <row r="139" spans="1:24" ht="12.75" hidden="1" outlineLevel="1">
      <c r="A139" s="46" t="s">
        <v>70</v>
      </c>
      <c r="B139" s="19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91960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91960</v>
      </c>
      <c r="T139" s="19">
        <v>91960</v>
      </c>
      <c r="U139" s="19">
        <v>0</v>
      </c>
      <c r="V139" s="47">
        <v>0</v>
      </c>
      <c r="W139" s="54"/>
      <c r="X139" s="53"/>
    </row>
    <row r="140" spans="1:24" ht="12.75" hidden="1" outlineLevel="1">
      <c r="A140" s="46" t="s">
        <v>75</v>
      </c>
      <c r="B140" s="19">
        <v>14776</v>
      </c>
      <c r="C140" s="19">
        <v>14760</v>
      </c>
      <c r="D140" s="19">
        <v>15430</v>
      </c>
      <c r="E140" s="19">
        <v>11578</v>
      </c>
      <c r="F140" s="19">
        <v>0</v>
      </c>
      <c r="G140" s="19">
        <v>6371</v>
      </c>
      <c r="H140" s="19">
        <v>5000</v>
      </c>
      <c r="I140" s="19">
        <v>12869</v>
      </c>
      <c r="J140" s="19">
        <v>20670</v>
      </c>
      <c r="K140" s="19">
        <v>55010</v>
      </c>
      <c r="L140" s="19">
        <v>0</v>
      </c>
      <c r="M140" s="19">
        <v>20005</v>
      </c>
      <c r="N140" s="19">
        <v>47400</v>
      </c>
      <c r="O140" s="19">
        <v>43100</v>
      </c>
      <c r="P140" s="19">
        <v>31579</v>
      </c>
      <c r="Q140" s="19">
        <v>11711</v>
      </c>
      <c r="R140" s="19">
        <v>18449</v>
      </c>
      <c r="S140" s="19">
        <v>328708</v>
      </c>
      <c r="T140" s="19">
        <v>302403</v>
      </c>
      <c r="U140" s="19">
        <v>26305</v>
      </c>
      <c r="V140" s="47">
        <v>8.7</v>
      </c>
      <c r="W140" s="54"/>
      <c r="X140" s="53"/>
    </row>
    <row r="141" spans="1:24" ht="12.75" hidden="1" outlineLevel="1">
      <c r="A141" s="46" t="s">
        <v>76</v>
      </c>
      <c r="B141" s="19">
        <v>3418</v>
      </c>
      <c r="C141" s="19">
        <v>50093</v>
      </c>
      <c r="D141" s="19">
        <v>8500</v>
      </c>
      <c r="E141" s="19">
        <v>3661</v>
      </c>
      <c r="F141" s="19">
        <v>0</v>
      </c>
      <c r="G141" s="19">
        <v>8440</v>
      </c>
      <c r="H141" s="19">
        <v>5060</v>
      </c>
      <c r="I141" s="19">
        <v>77763</v>
      </c>
      <c r="J141" s="19">
        <v>76391</v>
      </c>
      <c r="K141" s="19">
        <v>28155</v>
      </c>
      <c r="L141" s="19">
        <v>1120</v>
      </c>
      <c r="M141" s="19">
        <v>29429</v>
      </c>
      <c r="N141" s="19">
        <v>7900</v>
      </c>
      <c r="O141" s="19">
        <v>25615</v>
      </c>
      <c r="P141" s="19">
        <v>11278</v>
      </c>
      <c r="Q141" s="19">
        <v>3855</v>
      </c>
      <c r="R141" s="19">
        <v>5424</v>
      </c>
      <c r="S141" s="19">
        <v>346102</v>
      </c>
      <c r="T141" s="19">
        <v>427665</v>
      </c>
      <c r="U141" s="19">
        <v>-81563</v>
      </c>
      <c r="V141" s="47">
        <v>-19.1</v>
      </c>
      <c r="W141" s="54"/>
      <c r="X141" s="53"/>
    </row>
    <row r="142" spans="1:24" ht="12.75" hidden="1" outlineLevel="1">
      <c r="A142" s="46" t="s">
        <v>60</v>
      </c>
      <c r="B142" s="19">
        <v>10505</v>
      </c>
      <c r="C142" s="19">
        <v>9187</v>
      </c>
      <c r="D142" s="19">
        <v>0</v>
      </c>
      <c r="E142" s="19">
        <v>8044</v>
      </c>
      <c r="F142" s="19">
        <v>0</v>
      </c>
      <c r="G142" s="19">
        <v>87669</v>
      </c>
      <c r="H142" s="19">
        <v>10597</v>
      </c>
      <c r="I142" s="19">
        <v>3423</v>
      </c>
      <c r="J142" s="19">
        <v>30705</v>
      </c>
      <c r="K142" s="19">
        <v>2960</v>
      </c>
      <c r="L142" s="19">
        <v>0</v>
      </c>
      <c r="M142" s="19">
        <v>67793</v>
      </c>
      <c r="N142" s="19">
        <v>106000</v>
      </c>
      <c r="O142" s="19">
        <v>72350</v>
      </c>
      <c r="P142" s="19">
        <v>3053</v>
      </c>
      <c r="Q142" s="19">
        <v>6283</v>
      </c>
      <c r="R142" s="19">
        <v>33614</v>
      </c>
      <c r="S142" s="19">
        <v>452183</v>
      </c>
      <c r="T142" s="19">
        <v>457028</v>
      </c>
      <c r="U142" s="19">
        <v>-4845</v>
      </c>
      <c r="V142" s="47">
        <v>-1.1</v>
      </c>
      <c r="W142" s="54"/>
      <c r="X142" s="53"/>
    </row>
    <row r="143" spans="1:24" ht="12.75" hidden="1" outlineLevel="1">
      <c r="A143" s="46" t="s">
        <v>49</v>
      </c>
      <c r="B143" s="19">
        <v>644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801</v>
      </c>
      <c r="I143" s="19">
        <v>0</v>
      </c>
      <c r="J143" s="19">
        <v>3892</v>
      </c>
      <c r="K143" s="19">
        <v>0</v>
      </c>
      <c r="L143" s="19">
        <v>0</v>
      </c>
      <c r="M143" s="19">
        <v>0</v>
      </c>
      <c r="N143" s="19">
        <v>0</v>
      </c>
      <c r="O143" s="19">
        <v>23565</v>
      </c>
      <c r="P143" s="19">
        <v>0</v>
      </c>
      <c r="Q143" s="19">
        <v>600</v>
      </c>
      <c r="R143" s="19">
        <v>0</v>
      </c>
      <c r="S143" s="19">
        <v>29502</v>
      </c>
      <c r="T143" s="19">
        <v>26427</v>
      </c>
      <c r="U143" s="19">
        <v>3075</v>
      </c>
      <c r="V143" s="47">
        <v>11.6</v>
      </c>
      <c r="W143" s="54"/>
      <c r="X143" s="53"/>
    </row>
    <row r="144" spans="1:24" ht="12.75" hidden="1" outlineLevel="1">
      <c r="A144" s="46" t="s">
        <v>43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6594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14030780</v>
      </c>
      <c r="N144" s="19">
        <v>85390</v>
      </c>
      <c r="O144" s="19">
        <v>145000</v>
      </c>
      <c r="P144" s="19">
        <v>0</v>
      </c>
      <c r="Q144" s="19">
        <v>0</v>
      </c>
      <c r="R144" s="19">
        <v>0</v>
      </c>
      <c r="S144" s="19">
        <v>14267764</v>
      </c>
      <c r="T144" s="19">
        <v>12170374</v>
      </c>
      <c r="U144" s="19">
        <v>2097390</v>
      </c>
      <c r="V144" s="47">
        <v>17.2</v>
      </c>
      <c r="W144" s="54"/>
      <c r="X144" s="53"/>
    </row>
    <row r="145" spans="1:24" ht="12.75" hidden="1" outlineLevel="1">
      <c r="A145" s="46" t="s">
        <v>77</v>
      </c>
      <c r="B145" s="19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6182</v>
      </c>
      <c r="S145" s="19">
        <v>6182</v>
      </c>
      <c r="T145" s="19">
        <v>6182</v>
      </c>
      <c r="U145" s="19">
        <v>0</v>
      </c>
      <c r="V145" s="47">
        <v>0</v>
      </c>
      <c r="W145" s="54"/>
      <c r="X145" s="53"/>
    </row>
    <row r="146" spans="1:24" ht="12.75" hidden="1" outlineLevel="1">
      <c r="A146" s="46" t="s">
        <v>78</v>
      </c>
      <c r="B146" s="19">
        <v>8335</v>
      </c>
      <c r="C146" s="19">
        <v>876</v>
      </c>
      <c r="D146" s="19">
        <v>2842</v>
      </c>
      <c r="E146" s="19">
        <v>3169</v>
      </c>
      <c r="F146" s="19">
        <v>0</v>
      </c>
      <c r="G146" s="19">
        <v>5065</v>
      </c>
      <c r="H146" s="19">
        <v>2828</v>
      </c>
      <c r="I146" s="19">
        <v>42129</v>
      </c>
      <c r="J146" s="19">
        <v>8043</v>
      </c>
      <c r="K146" s="19">
        <v>6967</v>
      </c>
      <c r="L146" s="19">
        <v>57091</v>
      </c>
      <c r="M146" s="19">
        <v>180650</v>
      </c>
      <c r="N146" s="19">
        <v>112200</v>
      </c>
      <c r="O146" s="19">
        <v>21100</v>
      </c>
      <c r="P146" s="19">
        <v>775</v>
      </c>
      <c r="Q146" s="19">
        <v>1790</v>
      </c>
      <c r="R146" s="19">
        <v>14525</v>
      </c>
      <c r="S146" s="19">
        <v>468385</v>
      </c>
      <c r="T146" s="19">
        <v>549025</v>
      </c>
      <c r="U146" s="19">
        <v>-80640</v>
      </c>
      <c r="V146" s="47">
        <v>-14.7</v>
      </c>
      <c r="W146" s="54"/>
      <c r="X146" s="53"/>
    </row>
    <row r="147" spans="1:24" ht="12.75" hidden="1" outlineLevel="1">
      <c r="A147" s="46" t="s">
        <v>50</v>
      </c>
      <c r="B147" s="19">
        <v>0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2798</v>
      </c>
      <c r="L147" s="19">
        <v>0</v>
      </c>
      <c r="M147" s="19">
        <v>0</v>
      </c>
      <c r="N147" s="19">
        <v>81500</v>
      </c>
      <c r="O147" s="19">
        <v>2960062</v>
      </c>
      <c r="P147" s="19">
        <v>0</v>
      </c>
      <c r="Q147" s="19">
        <v>0</v>
      </c>
      <c r="R147" s="19">
        <v>129417</v>
      </c>
      <c r="S147" s="19">
        <v>3173777</v>
      </c>
      <c r="T147" s="19">
        <v>4118997</v>
      </c>
      <c r="U147" s="19">
        <v>-945220</v>
      </c>
      <c r="V147" s="47">
        <v>-22.9</v>
      </c>
      <c r="W147" s="54"/>
      <c r="X147" s="53"/>
    </row>
    <row r="148" spans="1:24" ht="12.75" hidden="1" outlineLevel="1">
      <c r="A148" s="46" t="s">
        <v>61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1059425</v>
      </c>
      <c r="P148" s="19">
        <v>0</v>
      </c>
      <c r="Q148" s="19">
        <v>0</v>
      </c>
      <c r="R148" s="19">
        <v>0</v>
      </c>
      <c r="S148" s="19">
        <v>1059425</v>
      </c>
      <c r="T148" s="19">
        <v>1057250</v>
      </c>
      <c r="U148" s="19">
        <v>2175</v>
      </c>
      <c r="V148" s="47">
        <v>0.2</v>
      </c>
      <c r="W148" s="54"/>
      <c r="X148" s="53"/>
    </row>
    <row r="149" spans="1:24" ht="12.75" hidden="1" outlineLevel="1">
      <c r="A149" s="46" t="s">
        <v>79</v>
      </c>
      <c r="B149" s="19">
        <v>537</v>
      </c>
      <c r="C149" s="19">
        <v>274</v>
      </c>
      <c r="D149" s="19">
        <v>1099</v>
      </c>
      <c r="E149" s="19">
        <v>635</v>
      </c>
      <c r="F149" s="19">
        <v>0</v>
      </c>
      <c r="G149" s="19">
        <v>752</v>
      </c>
      <c r="H149" s="19">
        <v>19</v>
      </c>
      <c r="I149" s="19">
        <v>537</v>
      </c>
      <c r="J149" s="19">
        <v>140</v>
      </c>
      <c r="K149" s="19">
        <v>332</v>
      </c>
      <c r="L149" s="19">
        <v>0</v>
      </c>
      <c r="M149" s="19">
        <v>1144</v>
      </c>
      <c r="N149" s="19">
        <v>0</v>
      </c>
      <c r="O149" s="19">
        <v>400</v>
      </c>
      <c r="P149" s="19">
        <v>215</v>
      </c>
      <c r="Q149" s="19">
        <v>456</v>
      </c>
      <c r="R149" s="19">
        <v>171</v>
      </c>
      <c r="S149" s="19">
        <v>6711</v>
      </c>
      <c r="T149" s="19">
        <v>6611</v>
      </c>
      <c r="U149" s="19">
        <v>100</v>
      </c>
      <c r="V149" s="47">
        <v>1.5</v>
      </c>
      <c r="W149" s="54"/>
      <c r="X149" s="53"/>
    </row>
    <row r="150" spans="1:24" ht="12.75" hidden="1" outlineLevel="1">
      <c r="A150" s="46" t="s">
        <v>106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2169500</v>
      </c>
      <c r="O150" s="19">
        <v>0</v>
      </c>
      <c r="P150" s="19">
        <v>0</v>
      </c>
      <c r="Q150" s="19">
        <v>0</v>
      </c>
      <c r="R150" s="19">
        <v>0</v>
      </c>
      <c r="S150" s="19">
        <v>2169500</v>
      </c>
      <c r="T150" s="19">
        <v>1969500</v>
      </c>
      <c r="U150" s="19">
        <v>200000</v>
      </c>
      <c r="V150" s="47">
        <v>10.2</v>
      </c>
      <c r="W150" s="54"/>
      <c r="X150" s="53"/>
    </row>
    <row r="151" spans="1:24" ht="12.75" hidden="1" outlineLevel="1">
      <c r="A151" s="46" t="s">
        <v>51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1023309</v>
      </c>
      <c r="P151" s="19">
        <v>0</v>
      </c>
      <c r="Q151" s="19">
        <v>0</v>
      </c>
      <c r="R151" s="19">
        <v>0</v>
      </c>
      <c r="S151" s="19">
        <v>1023309</v>
      </c>
      <c r="T151" s="19">
        <v>992000</v>
      </c>
      <c r="U151" s="19">
        <v>31309</v>
      </c>
      <c r="V151" s="47">
        <v>3.2</v>
      </c>
      <c r="W151" s="54"/>
      <c r="X151" s="53"/>
    </row>
    <row r="152" spans="1:24" ht="12.75" hidden="1" outlineLevel="1">
      <c r="A152" s="46" t="s">
        <v>52</v>
      </c>
      <c r="B152" s="19">
        <v>0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722590</v>
      </c>
      <c r="P152" s="19">
        <v>0</v>
      </c>
      <c r="Q152" s="19">
        <v>0</v>
      </c>
      <c r="R152" s="19">
        <v>0</v>
      </c>
      <c r="S152" s="19">
        <v>722590</v>
      </c>
      <c r="T152" s="19">
        <v>722590</v>
      </c>
      <c r="U152" s="19">
        <v>0</v>
      </c>
      <c r="V152" s="47">
        <v>0</v>
      </c>
      <c r="W152" s="54"/>
      <c r="X152" s="53"/>
    </row>
    <row r="153" spans="1:24" ht="12.75" hidden="1" outlineLevel="1">
      <c r="A153" s="46" t="s">
        <v>53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70600</v>
      </c>
      <c r="P153" s="19">
        <v>0</v>
      </c>
      <c r="Q153" s="19">
        <v>0</v>
      </c>
      <c r="R153" s="19">
        <v>0</v>
      </c>
      <c r="S153" s="19">
        <v>70600</v>
      </c>
      <c r="T153" s="19">
        <v>70600</v>
      </c>
      <c r="U153" s="19">
        <v>0</v>
      </c>
      <c r="V153" s="47">
        <v>0</v>
      </c>
      <c r="W153" s="54"/>
      <c r="X153" s="53"/>
    </row>
    <row r="154" spans="1:24" ht="12.75" hidden="1" outlineLevel="1">
      <c r="A154" s="46" t="s">
        <v>54</v>
      </c>
      <c r="B154" s="19">
        <v>0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2164256</v>
      </c>
      <c r="P154" s="19">
        <v>0</v>
      </c>
      <c r="Q154" s="19">
        <v>0</v>
      </c>
      <c r="R154" s="19">
        <v>0</v>
      </c>
      <c r="S154" s="19">
        <v>2164256</v>
      </c>
      <c r="T154" s="19">
        <v>2464256</v>
      </c>
      <c r="U154" s="19">
        <v>-300000</v>
      </c>
      <c r="V154" s="47">
        <v>-12.2</v>
      </c>
      <c r="W154" s="54"/>
      <c r="X154" s="53"/>
    </row>
    <row r="155" spans="1:24" ht="12.75" hidden="1" outlineLevel="1">
      <c r="A155" s="46" t="s">
        <v>80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1600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1600</v>
      </c>
      <c r="T155" s="19">
        <v>1600</v>
      </c>
      <c r="U155" s="19">
        <v>0</v>
      </c>
      <c r="V155" s="47">
        <v>0</v>
      </c>
      <c r="W155" s="54"/>
      <c r="X155" s="53"/>
    </row>
    <row r="156" spans="1:24" ht="12.75" hidden="1" outlineLevel="1">
      <c r="A156" s="46" t="s">
        <v>62</v>
      </c>
      <c r="B156" s="19">
        <v>0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10567552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10567552</v>
      </c>
      <c r="T156" s="19">
        <v>10261333</v>
      </c>
      <c r="U156" s="19">
        <v>306219</v>
      </c>
      <c r="V156" s="47">
        <v>3</v>
      </c>
      <c r="W156" s="54"/>
      <c r="X156" s="53"/>
    </row>
    <row r="157" spans="1:24" ht="12.75" hidden="1" outlineLevel="1">
      <c r="A157" s="46" t="s">
        <v>56</v>
      </c>
      <c r="B157" s="19">
        <v>0</v>
      </c>
      <c r="C157" s="19"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290685</v>
      </c>
      <c r="P157" s="19">
        <v>0</v>
      </c>
      <c r="Q157" s="19">
        <v>0</v>
      </c>
      <c r="R157" s="19">
        <v>75000</v>
      </c>
      <c r="S157" s="19">
        <v>365685</v>
      </c>
      <c r="T157" s="19">
        <v>226525</v>
      </c>
      <c r="U157" s="19">
        <v>139160</v>
      </c>
      <c r="V157" s="47">
        <v>61.4</v>
      </c>
      <c r="W157" s="54"/>
      <c r="X157" s="53"/>
    </row>
    <row r="158" spans="1:24" ht="12.75" hidden="1" outlineLevel="1">
      <c r="A158" s="46" t="s">
        <v>105</v>
      </c>
      <c r="B158" s="19">
        <v>0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836492</v>
      </c>
      <c r="P158" s="19">
        <v>0</v>
      </c>
      <c r="Q158" s="19">
        <v>0</v>
      </c>
      <c r="R158" s="19">
        <v>0</v>
      </c>
      <c r="S158" s="19">
        <v>836492</v>
      </c>
      <c r="T158" s="19">
        <v>943789</v>
      </c>
      <c r="U158" s="19">
        <v>-107297</v>
      </c>
      <c r="V158" s="47">
        <v>-11.4</v>
      </c>
      <c r="W158" s="54"/>
      <c r="X158" s="53"/>
    </row>
    <row r="159" spans="1:24" ht="12.75" hidden="1" outlineLevel="1">
      <c r="A159" s="46" t="s">
        <v>104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2420000</v>
      </c>
      <c r="P159" s="19">
        <v>0</v>
      </c>
      <c r="Q159" s="19">
        <v>0</v>
      </c>
      <c r="R159" s="19">
        <v>0</v>
      </c>
      <c r="S159" s="19">
        <v>2420000</v>
      </c>
      <c r="T159" s="19">
        <v>1855500</v>
      </c>
      <c r="U159" s="19">
        <v>564500</v>
      </c>
      <c r="V159" s="47">
        <v>30.4</v>
      </c>
      <c r="W159" s="54"/>
      <c r="X159" s="53"/>
    </row>
    <row r="160" spans="1:24" ht="12.75" hidden="1" outlineLevel="1">
      <c r="A160" s="46" t="s">
        <v>103</v>
      </c>
      <c r="B160" s="19">
        <v>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31268000</v>
      </c>
      <c r="O160" s="19">
        <v>0</v>
      </c>
      <c r="P160" s="19">
        <v>0</v>
      </c>
      <c r="Q160" s="19">
        <v>0</v>
      </c>
      <c r="R160" s="19">
        <v>15000</v>
      </c>
      <c r="S160" s="19">
        <v>31283000</v>
      </c>
      <c r="T160" s="19">
        <v>17137992</v>
      </c>
      <c r="U160" s="19">
        <v>14145008</v>
      </c>
      <c r="V160" s="47">
        <v>82.5</v>
      </c>
      <c r="W160" s="54"/>
      <c r="X160" s="53"/>
    </row>
    <row r="161" spans="1:24" ht="12.75" hidden="1" outlineLevel="1">
      <c r="A161" s="46" t="s">
        <v>63</v>
      </c>
      <c r="B161" s="19">
        <v>0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45656675</v>
      </c>
      <c r="O161" s="19">
        <v>0</v>
      </c>
      <c r="P161" s="19">
        <v>0</v>
      </c>
      <c r="Q161" s="19">
        <v>0</v>
      </c>
      <c r="R161" s="19">
        <v>0</v>
      </c>
      <c r="S161" s="19">
        <v>45656675</v>
      </c>
      <c r="T161" s="19">
        <v>23095819</v>
      </c>
      <c r="U161" s="19">
        <v>22560856</v>
      </c>
      <c r="V161" s="47">
        <v>97.7</v>
      </c>
      <c r="W161" s="54"/>
      <c r="X161" s="53"/>
    </row>
    <row r="162" spans="1:24" ht="12.75" hidden="1" outlineLevel="1">
      <c r="A162" s="46" t="s">
        <v>57</v>
      </c>
      <c r="B162" s="19">
        <v>0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1979</v>
      </c>
      <c r="L162" s="19">
        <v>0</v>
      </c>
      <c r="M162" s="19">
        <v>28257</v>
      </c>
      <c r="N162" s="19">
        <v>0</v>
      </c>
      <c r="O162" s="19">
        <v>189600</v>
      </c>
      <c r="P162" s="19">
        <v>0</v>
      </c>
      <c r="Q162" s="19">
        <v>0</v>
      </c>
      <c r="R162" s="19">
        <v>96687</v>
      </c>
      <c r="S162" s="19">
        <v>316523</v>
      </c>
      <c r="T162" s="19">
        <v>306890</v>
      </c>
      <c r="U162" s="19">
        <v>9633</v>
      </c>
      <c r="V162" s="47">
        <v>3.1</v>
      </c>
      <c r="W162" s="54"/>
      <c r="X162" s="53"/>
    </row>
    <row r="163" spans="1:24" ht="12.75" hidden="1" outlineLevel="1">
      <c r="A163" s="46" t="s">
        <v>102</v>
      </c>
      <c r="B163" s="19">
        <v>0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6540000</v>
      </c>
      <c r="P163" s="19">
        <v>0</v>
      </c>
      <c r="Q163" s="19">
        <v>0</v>
      </c>
      <c r="R163" s="19">
        <v>0</v>
      </c>
      <c r="S163" s="19">
        <v>6540000</v>
      </c>
      <c r="T163" s="19">
        <v>3910000</v>
      </c>
      <c r="U163" s="19">
        <v>2630000</v>
      </c>
      <c r="V163" s="47">
        <v>67.3</v>
      </c>
      <c r="W163" s="54"/>
      <c r="X163" s="53"/>
    </row>
    <row r="164" spans="1:24" ht="12.75" hidden="1" outlineLevel="1">
      <c r="A164" s="46" t="s">
        <v>101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5771724</v>
      </c>
      <c r="O164" s="19">
        <v>0</v>
      </c>
      <c r="P164" s="19">
        <v>0</v>
      </c>
      <c r="Q164" s="19">
        <v>47402416</v>
      </c>
      <c r="R164" s="19">
        <v>2500000</v>
      </c>
      <c r="S164" s="19">
        <v>55674140</v>
      </c>
      <c r="T164" s="19">
        <v>32850146</v>
      </c>
      <c r="U164" s="19">
        <v>22823994</v>
      </c>
      <c r="V164" s="47">
        <v>69.5</v>
      </c>
      <c r="W164" s="54"/>
      <c r="X164" s="53"/>
    </row>
    <row r="165" spans="1:24" ht="12.75" hidden="1" outlineLevel="1">
      <c r="A165" s="46" t="s">
        <v>100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2100000</v>
      </c>
      <c r="O165" s="19">
        <v>0</v>
      </c>
      <c r="P165" s="19">
        <v>0</v>
      </c>
      <c r="Q165" s="19">
        <v>0</v>
      </c>
      <c r="R165" s="19">
        <v>225000</v>
      </c>
      <c r="S165" s="19">
        <v>2325000</v>
      </c>
      <c r="T165" s="19">
        <v>3800000</v>
      </c>
      <c r="U165" s="19">
        <v>-1475000</v>
      </c>
      <c r="V165" s="47">
        <v>-38.8</v>
      </c>
      <c r="W165" s="54"/>
      <c r="X165" s="53"/>
    </row>
    <row r="166" spans="1:24" ht="12.75" hidden="1" outlineLevel="1">
      <c r="A166" s="46" t="s">
        <v>81</v>
      </c>
      <c r="B166" s="19">
        <v>0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201355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201355</v>
      </c>
      <c r="T166" s="19">
        <v>781355</v>
      </c>
      <c r="U166" s="19">
        <v>-580000</v>
      </c>
      <c r="V166" s="47">
        <v>-74.2</v>
      </c>
      <c r="W166" s="54"/>
      <c r="X166" s="53"/>
    </row>
    <row r="167" spans="1:24" ht="12.75" hidden="1" outlineLevel="1">
      <c r="A167" s="46" t="s">
        <v>64</v>
      </c>
      <c r="B167" s="19">
        <v>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19982558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19982558</v>
      </c>
      <c r="T167" s="19">
        <v>19939979</v>
      </c>
      <c r="U167" s="19">
        <v>42579</v>
      </c>
      <c r="V167" s="47">
        <v>0.2</v>
      </c>
      <c r="W167" s="54"/>
      <c r="X167" s="53"/>
    </row>
    <row r="168" spans="1:24" ht="12.75" hidden="1" outlineLevel="1">
      <c r="A168" s="46" t="s">
        <v>99</v>
      </c>
      <c r="B168" s="19">
        <v>0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2348000</v>
      </c>
      <c r="R168" s="19">
        <v>0</v>
      </c>
      <c r="S168" s="19">
        <v>2348000</v>
      </c>
      <c r="T168" s="19">
        <v>774413</v>
      </c>
      <c r="U168" s="19">
        <v>1573587</v>
      </c>
      <c r="V168" s="47">
        <v>203.2</v>
      </c>
      <c r="W168" s="54"/>
      <c r="X168" s="53"/>
    </row>
    <row r="169" spans="1:24" ht="12.75" hidden="1" outlineLevel="1">
      <c r="A169" s="46" t="s">
        <v>98</v>
      </c>
      <c r="B169" s="19">
        <v>0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7535300</v>
      </c>
      <c r="R169" s="19">
        <v>0</v>
      </c>
      <c r="S169" s="19">
        <v>7535300</v>
      </c>
      <c r="T169" s="19">
        <v>6919344</v>
      </c>
      <c r="U169" s="19">
        <v>615956</v>
      </c>
      <c r="V169" s="47">
        <v>8.9</v>
      </c>
      <c r="W169" s="54"/>
      <c r="X169" s="53"/>
    </row>
    <row r="170" spans="1:24" ht="12.75" hidden="1" outlineLevel="1">
      <c r="A170" s="46" t="s">
        <v>97</v>
      </c>
      <c r="B170" s="19">
        <v>0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3840449</v>
      </c>
      <c r="R170" s="19">
        <v>0</v>
      </c>
      <c r="S170" s="19">
        <v>3840449</v>
      </c>
      <c r="T170" s="19">
        <v>2045968</v>
      </c>
      <c r="U170" s="19">
        <v>1794481</v>
      </c>
      <c r="V170" s="47">
        <v>87.7</v>
      </c>
      <c r="W170" s="54"/>
      <c r="X170" s="53"/>
    </row>
    <row r="171" spans="1:24" ht="12.75" hidden="1" outlineLevel="1">
      <c r="A171" s="46" t="s">
        <v>96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9669589</v>
      </c>
      <c r="R171" s="19">
        <v>0</v>
      </c>
      <c r="S171" s="19">
        <v>9669589</v>
      </c>
      <c r="T171" s="19">
        <v>14661558</v>
      </c>
      <c r="U171" s="19">
        <v>-4991969</v>
      </c>
      <c r="V171" s="47">
        <v>-34</v>
      </c>
      <c r="W171" s="54"/>
      <c r="X171" s="53"/>
    </row>
    <row r="172" spans="1:24" ht="12.75" hidden="1" outlineLevel="1">
      <c r="A172" s="46" t="s">
        <v>95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108529469</v>
      </c>
      <c r="R172" s="19">
        <v>0</v>
      </c>
      <c r="S172" s="19">
        <v>108529469</v>
      </c>
      <c r="T172" s="19">
        <v>75257094</v>
      </c>
      <c r="U172" s="19">
        <v>33272375</v>
      </c>
      <c r="V172" s="47">
        <v>44.2</v>
      </c>
      <c r="W172" s="54"/>
      <c r="X172" s="53"/>
    </row>
    <row r="173" spans="1:24" ht="12.75" hidden="1" outlineLevel="1">
      <c r="A173" s="46" t="s">
        <v>94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604029</v>
      </c>
      <c r="R173" s="19">
        <v>0</v>
      </c>
      <c r="S173" s="19">
        <v>604029</v>
      </c>
      <c r="T173" s="19">
        <v>1159010</v>
      </c>
      <c r="U173" s="19">
        <v>-554981</v>
      </c>
      <c r="V173" s="47">
        <v>-47.9</v>
      </c>
      <c r="W173" s="54"/>
      <c r="X173" s="53"/>
    </row>
    <row r="174" spans="1:24" ht="12.75" hidden="1" outlineLevel="1">
      <c r="A174" s="46" t="s">
        <v>93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2003401</v>
      </c>
      <c r="R174" s="19">
        <v>0</v>
      </c>
      <c r="S174" s="19">
        <v>2003401</v>
      </c>
      <c r="T174" s="19">
        <v>1268707</v>
      </c>
      <c r="U174" s="19">
        <v>734694</v>
      </c>
      <c r="V174" s="47">
        <v>57.9</v>
      </c>
      <c r="W174" s="54"/>
      <c r="X174" s="53"/>
    </row>
    <row r="175" spans="1:24" ht="13.5" hidden="1" outlineLevel="1" thickBot="1">
      <c r="A175" s="4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49"/>
      <c r="W175" s="54"/>
      <c r="X175" s="53"/>
    </row>
    <row r="176" spans="1:24" ht="13.5" hidden="1" outlineLevel="1" thickBot="1">
      <c r="A176" s="50" t="s">
        <v>84</v>
      </c>
      <c r="B176" s="51">
        <v>1400969</v>
      </c>
      <c r="C176" s="51">
        <v>756085</v>
      </c>
      <c r="D176" s="51">
        <v>184275</v>
      </c>
      <c r="E176" s="51">
        <v>5484054</v>
      </c>
      <c r="F176" s="51">
        <v>0</v>
      </c>
      <c r="G176" s="51">
        <v>1630670</v>
      </c>
      <c r="H176" s="51">
        <v>1302477</v>
      </c>
      <c r="I176" s="51">
        <v>5389770</v>
      </c>
      <c r="J176" s="51">
        <v>1910203</v>
      </c>
      <c r="K176" s="51">
        <v>6973028</v>
      </c>
      <c r="L176" s="51">
        <v>12468195</v>
      </c>
      <c r="M176" s="51">
        <v>78220075</v>
      </c>
      <c r="N176" s="51">
        <v>122829104</v>
      </c>
      <c r="O176" s="51">
        <v>44121664</v>
      </c>
      <c r="P176" s="51">
        <v>957071</v>
      </c>
      <c r="Q176" s="51">
        <v>203099537</v>
      </c>
      <c r="R176" s="51">
        <v>21901814</v>
      </c>
      <c r="S176" s="51">
        <v>508628991</v>
      </c>
      <c r="T176" s="51">
        <v>407727342</v>
      </c>
      <c r="U176" s="51">
        <v>100901649</v>
      </c>
      <c r="V176" s="52">
        <v>24.7</v>
      </c>
      <c r="W176" s="54"/>
      <c r="X176" s="53"/>
    </row>
    <row r="177" spans="1:24" ht="13.5" hidden="1" outlineLevel="1" thickTop="1">
      <c r="A177" s="96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8"/>
      <c r="W177" s="54"/>
      <c r="X177" s="53"/>
    </row>
    <row r="178" spans="1:24" ht="12.75" hidden="1" outlineLevel="1">
      <c r="A178" s="96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8"/>
      <c r="W178" s="54"/>
      <c r="X178" s="53"/>
    </row>
    <row r="179" spans="1:24" ht="12.75" hidden="1" outlineLevel="1">
      <c r="A179" s="53" t="s">
        <v>92</v>
      </c>
      <c r="V179" s="54"/>
      <c r="X179" s="53"/>
    </row>
    <row r="180" spans="1:22" s="63" customFormat="1" ht="27" hidden="1" outlineLevel="1">
      <c r="A180" s="42" t="s">
        <v>0</v>
      </c>
      <c r="B180" s="64" t="s">
        <v>1</v>
      </c>
      <c r="C180" s="64" t="s">
        <v>2</v>
      </c>
      <c r="D180" s="64" t="s">
        <v>3</v>
      </c>
      <c r="E180" s="64" t="s">
        <v>4</v>
      </c>
      <c r="F180" s="64" t="s">
        <v>5</v>
      </c>
      <c r="G180" s="64" t="s">
        <v>6</v>
      </c>
      <c r="H180" s="64" t="s">
        <v>7</v>
      </c>
      <c r="I180" s="64" t="s">
        <v>8</v>
      </c>
      <c r="J180" s="64" t="s">
        <v>91</v>
      </c>
      <c r="K180" s="64" t="s">
        <v>10</v>
      </c>
      <c r="L180" s="64" t="s">
        <v>11</v>
      </c>
      <c r="M180" s="64" t="s">
        <v>88</v>
      </c>
      <c r="N180" s="64" t="s">
        <v>13</v>
      </c>
      <c r="O180" s="64" t="s">
        <v>14</v>
      </c>
      <c r="P180" s="64" t="s">
        <v>15</v>
      </c>
      <c r="Q180" s="64" t="s">
        <v>90</v>
      </c>
      <c r="R180" s="64" t="s">
        <v>17</v>
      </c>
      <c r="S180" s="43" t="s">
        <v>18</v>
      </c>
      <c r="T180" s="43" t="s">
        <v>19</v>
      </c>
      <c r="U180" s="44" t="s">
        <v>20</v>
      </c>
      <c r="V180" s="44" t="s">
        <v>21</v>
      </c>
    </row>
    <row r="181" spans="1:24" ht="13.5" hidden="1" outlineLevel="1" thickBot="1">
      <c r="A181" s="4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X181" s="53"/>
    </row>
    <row r="182" spans="1:24" ht="12.75" hidden="1" outlineLevel="1">
      <c r="A182" s="46" t="s">
        <v>22</v>
      </c>
      <c r="B182" s="15">
        <v>19249</v>
      </c>
      <c r="C182" s="15">
        <v>5361</v>
      </c>
      <c r="D182" s="15">
        <v>1364</v>
      </c>
      <c r="E182" s="15">
        <v>12734</v>
      </c>
      <c r="F182" s="15">
        <v>0</v>
      </c>
      <c r="G182" s="15">
        <v>14776</v>
      </c>
      <c r="H182" s="15">
        <v>10921</v>
      </c>
      <c r="I182" s="15">
        <v>10055</v>
      </c>
      <c r="J182" s="15">
        <v>22409</v>
      </c>
      <c r="K182" s="15">
        <v>22562</v>
      </c>
      <c r="L182" s="15">
        <v>0</v>
      </c>
      <c r="M182" s="15">
        <v>165687</v>
      </c>
      <c r="N182" s="15">
        <v>101366</v>
      </c>
      <c r="O182" s="15">
        <v>14816</v>
      </c>
      <c r="P182" s="15">
        <v>11682</v>
      </c>
      <c r="Q182" s="15">
        <v>36881</v>
      </c>
      <c r="R182" s="15">
        <v>791288</v>
      </c>
      <c r="S182" s="15">
        <v>1241151</v>
      </c>
      <c r="T182" s="15">
        <v>556280</v>
      </c>
      <c r="U182" s="15">
        <v>684871</v>
      </c>
      <c r="V182" s="47">
        <v>123.1</v>
      </c>
      <c r="X182" s="53"/>
    </row>
    <row r="183" spans="1:24" ht="12.75" hidden="1" outlineLevel="1">
      <c r="A183" s="46" t="s">
        <v>25</v>
      </c>
      <c r="B183" s="19">
        <v>8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31</v>
      </c>
      <c r="K183" s="19">
        <v>8</v>
      </c>
      <c r="L183" s="19">
        <v>0</v>
      </c>
      <c r="M183" s="19">
        <v>5633</v>
      </c>
      <c r="N183" s="19">
        <v>1362</v>
      </c>
      <c r="O183" s="19">
        <v>32</v>
      </c>
      <c r="P183" s="19">
        <v>0</v>
      </c>
      <c r="Q183" s="19">
        <v>0</v>
      </c>
      <c r="R183" s="19">
        <v>119</v>
      </c>
      <c r="S183" s="19">
        <v>7193</v>
      </c>
      <c r="T183" s="19">
        <v>0</v>
      </c>
      <c r="U183" s="19">
        <v>7193</v>
      </c>
      <c r="V183" s="47">
        <v>100</v>
      </c>
      <c r="X183" s="53"/>
    </row>
    <row r="184" spans="1:24" ht="12.75" hidden="1" outlineLevel="1">
      <c r="A184" s="46" t="s">
        <v>26</v>
      </c>
      <c r="B184" s="1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120834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120834</v>
      </c>
      <c r="T184" s="19">
        <v>0</v>
      </c>
      <c r="U184" s="19">
        <v>120834</v>
      </c>
      <c r="V184" s="47">
        <v>100</v>
      </c>
      <c r="X184" s="53"/>
    </row>
    <row r="185" spans="1:24" ht="12.75" hidden="1" outlineLevel="1">
      <c r="A185" s="46" t="s">
        <v>27</v>
      </c>
      <c r="B185" s="19">
        <v>2532</v>
      </c>
      <c r="C185" s="19">
        <v>589</v>
      </c>
      <c r="D185" s="19">
        <v>181</v>
      </c>
      <c r="E185" s="19">
        <v>1701</v>
      </c>
      <c r="F185" s="19">
        <v>0</v>
      </c>
      <c r="G185" s="19">
        <v>1886</v>
      </c>
      <c r="H185" s="19">
        <v>1447</v>
      </c>
      <c r="I185" s="19">
        <v>1316</v>
      </c>
      <c r="J185" s="19">
        <v>2969</v>
      </c>
      <c r="K185" s="19">
        <v>2983</v>
      </c>
      <c r="L185" s="19">
        <v>0</v>
      </c>
      <c r="M185" s="19">
        <v>21956</v>
      </c>
      <c r="N185" s="19">
        <v>13435</v>
      </c>
      <c r="O185" s="19">
        <v>1908</v>
      </c>
      <c r="P185" s="19">
        <v>1532</v>
      </c>
      <c r="Q185" s="19">
        <v>4839</v>
      </c>
      <c r="R185" s="19">
        <v>104891</v>
      </c>
      <c r="S185" s="19">
        <v>164165</v>
      </c>
      <c r="T185" s="19">
        <v>68704</v>
      </c>
      <c r="U185" s="19">
        <v>95462</v>
      </c>
      <c r="V185" s="47">
        <v>138.9</v>
      </c>
      <c r="X185" s="53"/>
    </row>
    <row r="186" spans="1:24" ht="12.75" hidden="1" outlineLevel="1">
      <c r="A186" s="46" t="s">
        <v>35</v>
      </c>
      <c r="B186" s="19">
        <v>0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157080</v>
      </c>
      <c r="N186" s="19">
        <v>0</v>
      </c>
      <c r="O186" s="19">
        <v>187000</v>
      </c>
      <c r="P186" s="19">
        <v>0</v>
      </c>
      <c r="Q186" s="19">
        <v>0</v>
      </c>
      <c r="R186" s="19">
        <v>0</v>
      </c>
      <c r="S186" s="19">
        <v>344080</v>
      </c>
      <c r="T186" s="19">
        <v>481510</v>
      </c>
      <c r="U186" s="19">
        <v>-137430</v>
      </c>
      <c r="V186" s="47">
        <v>-28.5</v>
      </c>
      <c r="X186" s="53"/>
    </row>
    <row r="187" spans="1:24" ht="12.75" hidden="1" outlineLevel="1">
      <c r="A187" s="46" t="s">
        <v>37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52000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52000</v>
      </c>
      <c r="T187" s="19">
        <v>52000</v>
      </c>
      <c r="U187" s="19">
        <v>0</v>
      </c>
      <c r="V187" s="47">
        <v>0</v>
      </c>
      <c r="X187" s="53"/>
    </row>
    <row r="188" spans="1:24" ht="12.75" hidden="1" outlineLevel="1">
      <c r="A188" s="46" t="s">
        <v>40</v>
      </c>
      <c r="B188" s="1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606662</v>
      </c>
      <c r="S188" s="19">
        <v>606662</v>
      </c>
      <c r="T188" s="19">
        <v>832862</v>
      </c>
      <c r="U188" s="19">
        <v>-226200</v>
      </c>
      <c r="V188" s="47">
        <v>-27.2</v>
      </c>
      <c r="X188" s="53"/>
    </row>
    <row r="189" spans="1:24" ht="12.75" hidden="1" outlineLevel="1">
      <c r="A189" s="46" t="s">
        <v>45</v>
      </c>
      <c r="B189" s="1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105453</v>
      </c>
      <c r="O189" s="19">
        <v>2487356</v>
      </c>
      <c r="P189" s="19">
        <v>0</v>
      </c>
      <c r="Q189" s="19">
        <v>0</v>
      </c>
      <c r="R189" s="19">
        <v>0</v>
      </c>
      <c r="S189" s="19">
        <v>2592809</v>
      </c>
      <c r="T189" s="19">
        <v>2844964</v>
      </c>
      <c r="U189" s="19">
        <v>-252155</v>
      </c>
      <c r="V189" s="47">
        <v>-8.9</v>
      </c>
      <c r="X189" s="53"/>
    </row>
    <row r="190" spans="1:24" ht="12.75" hidden="1" outlineLevel="1">
      <c r="A190" s="46" t="s">
        <v>73</v>
      </c>
      <c r="B190" s="19">
        <v>0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213000</v>
      </c>
      <c r="S190" s="19">
        <v>213000</v>
      </c>
      <c r="T190" s="19">
        <v>150000</v>
      </c>
      <c r="U190" s="19">
        <v>63000</v>
      </c>
      <c r="V190" s="47">
        <v>42</v>
      </c>
      <c r="X190" s="53"/>
    </row>
    <row r="191" spans="1:24" ht="12.75" hidden="1" outlineLevel="1">
      <c r="A191" s="46" t="s">
        <v>58</v>
      </c>
      <c r="B191" s="1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155091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155091</v>
      </c>
      <c r="T191" s="19">
        <v>124430</v>
      </c>
      <c r="U191" s="19">
        <v>30661</v>
      </c>
      <c r="V191" s="47">
        <v>24.6</v>
      </c>
      <c r="X191" s="53"/>
    </row>
    <row r="192" spans="1:24" ht="12.75" hidden="1" outlineLevel="1">
      <c r="A192" s="46" t="s">
        <v>59</v>
      </c>
      <c r="B192" s="19">
        <v>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20828</v>
      </c>
      <c r="O192" s="19">
        <v>0</v>
      </c>
      <c r="P192" s="19">
        <v>0</v>
      </c>
      <c r="Q192" s="19">
        <v>0</v>
      </c>
      <c r="R192" s="19">
        <v>0</v>
      </c>
      <c r="S192" s="19">
        <v>20828</v>
      </c>
      <c r="T192" s="19">
        <v>0</v>
      </c>
      <c r="U192" s="19">
        <v>20828</v>
      </c>
      <c r="V192" s="47">
        <v>100</v>
      </c>
      <c r="X192" s="53"/>
    </row>
    <row r="193" spans="1:24" ht="12.75" hidden="1" outlineLevel="1">
      <c r="A193" s="46" t="s">
        <v>68</v>
      </c>
      <c r="B193" s="1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721738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721738</v>
      </c>
      <c r="T193" s="19">
        <v>456703</v>
      </c>
      <c r="U193" s="19">
        <v>265035</v>
      </c>
      <c r="V193" s="47">
        <v>58</v>
      </c>
      <c r="X193" s="53"/>
    </row>
    <row r="194" spans="1:24" ht="12.75" hidden="1" outlineLevel="1">
      <c r="A194" s="46" t="s">
        <v>43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171122</v>
      </c>
      <c r="N194" s="19">
        <v>610</v>
      </c>
      <c r="O194" s="19">
        <v>0</v>
      </c>
      <c r="P194" s="19">
        <v>0</v>
      </c>
      <c r="Q194" s="19">
        <v>0</v>
      </c>
      <c r="R194" s="19">
        <v>0</v>
      </c>
      <c r="S194" s="19">
        <v>171732</v>
      </c>
      <c r="T194" s="19">
        <v>69502</v>
      </c>
      <c r="U194" s="19">
        <v>102230</v>
      </c>
      <c r="V194" s="47">
        <v>147.1</v>
      </c>
      <c r="X194" s="53"/>
    </row>
    <row r="195" spans="1:24" ht="12.75" hidden="1" outlineLevel="1">
      <c r="A195" s="46" t="s">
        <v>52</v>
      </c>
      <c r="B195" s="1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45000</v>
      </c>
      <c r="P195" s="19">
        <v>0</v>
      </c>
      <c r="Q195" s="19">
        <v>0</v>
      </c>
      <c r="R195" s="19">
        <v>0</v>
      </c>
      <c r="S195" s="19">
        <v>45000</v>
      </c>
      <c r="T195" s="19">
        <v>45000</v>
      </c>
      <c r="U195" s="19">
        <v>0</v>
      </c>
      <c r="V195" s="47">
        <v>0</v>
      </c>
      <c r="X195" s="53"/>
    </row>
    <row r="196" spans="1:24" ht="12.75" hidden="1" outlineLevel="1">
      <c r="A196" s="46" t="s">
        <v>54</v>
      </c>
      <c r="B196" s="1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82500</v>
      </c>
      <c r="P196" s="19">
        <v>0</v>
      </c>
      <c r="Q196" s="19">
        <v>0</v>
      </c>
      <c r="R196" s="19">
        <v>0</v>
      </c>
      <c r="S196" s="19">
        <v>82500</v>
      </c>
      <c r="T196" s="19">
        <v>82500</v>
      </c>
      <c r="U196" s="19">
        <v>0</v>
      </c>
      <c r="V196" s="47">
        <v>0</v>
      </c>
      <c r="X196" s="53"/>
    </row>
    <row r="197" spans="1:24" ht="12.75" hidden="1" outlineLevel="1">
      <c r="A197" s="46" t="s">
        <v>62</v>
      </c>
      <c r="B197" s="1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153259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153259</v>
      </c>
      <c r="T197" s="19">
        <v>122734</v>
      </c>
      <c r="U197" s="19">
        <v>30525</v>
      </c>
      <c r="V197" s="47">
        <v>24.9</v>
      </c>
      <c r="X197" s="53"/>
    </row>
    <row r="198" spans="1:24" ht="12.75" hidden="1" outlineLevel="1">
      <c r="A198" s="46" t="s">
        <v>63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104840</v>
      </c>
      <c r="O198" s="19">
        <v>0</v>
      </c>
      <c r="P198" s="19">
        <v>0</v>
      </c>
      <c r="Q198" s="19">
        <v>0</v>
      </c>
      <c r="R198" s="19">
        <v>0</v>
      </c>
      <c r="S198" s="19">
        <v>104840</v>
      </c>
      <c r="T198" s="19">
        <v>71122</v>
      </c>
      <c r="U198" s="19">
        <v>33718</v>
      </c>
      <c r="V198" s="47">
        <v>47.4</v>
      </c>
      <c r="X198" s="53"/>
    </row>
    <row r="199" spans="1:24" ht="12.75" hidden="1" outlineLevel="1">
      <c r="A199" s="46" t="s">
        <v>57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29700</v>
      </c>
      <c r="S199" s="19">
        <v>29700</v>
      </c>
      <c r="T199" s="19">
        <v>0</v>
      </c>
      <c r="U199" s="19">
        <v>29700</v>
      </c>
      <c r="V199" s="47">
        <v>100</v>
      </c>
      <c r="X199" s="53"/>
    </row>
    <row r="200" spans="1:24" ht="12.75" hidden="1" outlineLevel="1">
      <c r="A200" s="46" t="s">
        <v>81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11535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11535</v>
      </c>
      <c r="T200" s="19">
        <v>0</v>
      </c>
      <c r="U200" s="19">
        <v>11535</v>
      </c>
      <c r="V200" s="47">
        <v>100</v>
      </c>
      <c r="X200" s="53"/>
    </row>
    <row r="201" spans="1:24" ht="12.75" hidden="1" outlineLevel="1">
      <c r="A201" s="46" t="s">
        <v>64</v>
      </c>
      <c r="B201" s="1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290969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290969</v>
      </c>
      <c r="T201" s="19">
        <v>199766</v>
      </c>
      <c r="U201" s="19">
        <v>91203</v>
      </c>
      <c r="V201" s="47">
        <v>45.7</v>
      </c>
      <c r="X201" s="53"/>
    </row>
    <row r="202" spans="1:24" ht="13.5" hidden="1" outlineLevel="1" thickBot="1">
      <c r="A202" s="4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49"/>
      <c r="X202" s="53"/>
    </row>
    <row r="203" spans="1:24" ht="13.5" hidden="1" outlineLevel="1" thickBot="1">
      <c r="A203" s="50" t="s">
        <v>84</v>
      </c>
      <c r="B203" s="51">
        <v>21789</v>
      </c>
      <c r="C203" s="51">
        <v>5950</v>
      </c>
      <c r="D203" s="51">
        <v>1545</v>
      </c>
      <c r="E203" s="51">
        <v>14435</v>
      </c>
      <c r="F203" s="51">
        <v>0</v>
      </c>
      <c r="G203" s="51">
        <v>16662</v>
      </c>
      <c r="H203" s="51">
        <v>64368</v>
      </c>
      <c r="I203" s="51">
        <v>11371</v>
      </c>
      <c r="J203" s="51">
        <v>25409</v>
      </c>
      <c r="K203" s="51">
        <v>747291</v>
      </c>
      <c r="L203" s="51">
        <v>120834</v>
      </c>
      <c r="M203" s="51">
        <v>1132332</v>
      </c>
      <c r="N203" s="51">
        <v>347894</v>
      </c>
      <c r="O203" s="51">
        <v>2818612</v>
      </c>
      <c r="P203" s="51">
        <v>13214</v>
      </c>
      <c r="Q203" s="51">
        <v>41720</v>
      </c>
      <c r="R203" s="51">
        <v>1745660</v>
      </c>
      <c r="S203" s="51">
        <v>7129086</v>
      </c>
      <c r="T203" s="51">
        <v>6158077</v>
      </c>
      <c r="U203" s="51">
        <v>971009</v>
      </c>
      <c r="V203" s="52">
        <v>15.8</v>
      </c>
      <c r="X203" s="53"/>
    </row>
    <row r="204" spans="1:24" ht="15.75" hidden="1" outlineLevel="1" thickTop="1">
      <c r="A204" s="62" t="s">
        <v>89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</row>
    <row r="205" spans="1:24" ht="27" hidden="1" outlineLevel="1">
      <c r="A205" s="60" t="s">
        <v>0</v>
      </c>
      <c r="B205" s="59" t="s">
        <v>1</v>
      </c>
      <c r="C205" s="59" t="s">
        <v>2</v>
      </c>
      <c r="D205" s="59" t="s">
        <v>3</v>
      </c>
      <c r="E205" s="59" t="s">
        <v>4</v>
      </c>
      <c r="F205" s="59" t="s">
        <v>5</v>
      </c>
      <c r="G205" s="59" t="s">
        <v>6</v>
      </c>
      <c r="H205" s="59" t="s">
        <v>7</v>
      </c>
      <c r="I205" s="59" t="s">
        <v>8</v>
      </c>
      <c r="J205" s="59" t="s">
        <v>9</v>
      </c>
      <c r="K205" s="59" t="s">
        <v>10</v>
      </c>
      <c r="L205" s="59" t="s">
        <v>11</v>
      </c>
      <c r="M205" s="59" t="s">
        <v>88</v>
      </c>
      <c r="N205" s="59" t="s">
        <v>13</v>
      </c>
      <c r="O205" s="59" t="s">
        <v>14</v>
      </c>
      <c r="P205" s="59" t="s">
        <v>15</v>
      </c>
      <c r="Q205" s="59" t="s">
        <v>16</v>
      </c>
      <c r="R205" s="59" t="s">
        <v>17</v>
      </c>
      <c r="S205" s="58" t="s">
        <v>87</v>
      </c>
      <c r="T205" s="58" t="s">
        <v>86</v>
      </c>
      <c r="U205" s="57" t="s">
        <v>20</v>
      </c>
      <c r="V205" s="57" t="s">
        <v>21</v>
      </c>
      <c r="X205" s="53"/>
    </row>
    <row r="206" spans="1:24" ht="13.5" hidden="1" outlineLevel="1" thickBot="1">
      <c r="A206" s="4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X206" s="53"/>
    </row>
    <row r="207" spans="1:24" ht="12.75" hidden="1" outlineLevel="1">
      <c r="A207" s="46" t="s">
        <v>22</v>
      </c>
      <c r="B207" s="15">
        <v>174704</v>
      </c>
      <c r="C207" s="15">
        <v>52076</v>
      </c>
      <c r="D207" s="15">
        <v>0</v>
      </c>
      <c r="E207" s="15">
        <v>145735</v>
      </c>
      <c r="F207" s="15">
        <v>0</v>
      </c>
      <c r="G207" s="15">
        <v>143535</v>
      </c>
      <c r="H207" s="15">
        <v>106088</v>
      </c>
      <c r="I207" s="15">
        <v>97676</v>
      </c>
      <c r="J207" s="15">
        <v>0</v>
      </c>
      <c r="K207" s="15">
        <v>173602</v>
      </c>
      <c r="L207" s="15">
        <v>0</v>
      </c>
      <c r="M207" s="15">
        <v>1609491</v>
      </c>
      <c r="N207" s="15">
        <v>984668</v>
      </c>
      <c r="O207" s="15">
        <v>0</v>
      </c>
      <c r="P207" s="15">
        <v>113475</v>
      </c>
      <c r="Q207" s="15">
        <v>0</v>
      </c>
      <c r="R207" s="15">
        <v>31224</v>
      </c>
      <c r="S207" s="15">
        <v>3632274</v>
      </c>
      <c r="T207" s="15">
        <v>4798806</v>
      </c>
      <c r="U207" s="15">
        <v>-1166532</v>
      </c>
      <c r="V207" s="47">
        <v>-24.3</v>
      </c>
      <c r="X207" s="53"/>
    </row>
    <row r="208" spans="1:24" ht="12.75" hidden="1" outlineLevel="1">
      <c r="A208" s="46" t="s">
        <v>25</v>
      </c>
      <c r="B208" s="19">
        <v>80</v>
      </c>
      <c r="C208" s="19">
        <v>0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54729</v>
      </c>
      <c r="N208" s="19">
        <v>13232</v>
      </c>
      <c r="O208" s="19">
        <v>0</v>
      </c>
      <c r="P208" s="19">
        <v>0</v>
      </c>
      <c r="Q208" s="19">
        <v>0</v>
      </c>
      <c r="R208" s="19">
        <v>0</v>
      </c>
      <c r="S208" s="19">
        <v>68041</v>
      </c>
      <c r="T208" s="19">
        <v>75752</v>
      </c>
      <c r="U208" s="19">
        <v>-7711</v>
      </c>
      <c r="V208" s="47">
        <v>-10.2</v>
      </c>
      <c r="X208" s="53"/>
    </row>
    <row r="209" spans="1:24" ht="12.75" hidden="1" outlineLevel="1">
      <c r="A209" s="46" t="s">
        <v>26</v>
      </c>
      <c r="B209" s="1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1266861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1266861</v>
      </c>
      <c r="T209" s="19">
        <v>1009656</v>
      </c>
      <c r="U209" s="19">
        <v>257205</v>
      </c>
      <c r="V209" s="47">
        <v>25.5</v>
      </c>
      <c r="X209" s="53"/>
    </row>
    <row r="210" spans="1:24" ht="12.75" hidden="1" outlineLevel="1">
      <c r="A210" s="46" t="s">
        <v>27</v>
      </c>
      <c r="B210" s="19">
        <v>23332</v>
      </c>
      <c r="C210" s="19">
        <v>5722</v>
      </c>
      <c r="D210" s="19">
        <v>0</v>
      </c>
      <c r="E210" s="19">
        <v>18594</v>
      </c>
      <c r="F210" s="19">
        <v>0</v>
      </c>
      <c r="G210" s="19">
        <v>18325</v>
      </c>
      <c r="H210" s="19">
        <v>14056</v>
      </c>
      <c r="I210" s="19">
        <v>12784</v>
      </c>
      <c r="J210" s="19">
        <v>0</v>
      </c>
      <c r="K210" s="19">
        <v>22931</v>
      </c>
      <c r="L210" s="19">
        <v>0</v>
      </c>
      <c r="M210" s="19">
        <v>213270</v>
      </c>
      <c r="N210" s="19">
        <v>130511</v>
      </c>
      <c r="O210" s="19">
        <v>0</v>
      </c>
      <c r="P210" s="19">
        <v>14883</v>
      </c>
      <c r="Q210" s="19">
        <v>0</v>
      </c>
      <c r="R210" s="19">
        <v>4123</v>
      </c>
      <c r="S210" s="19">
        <v>478531</v>
      </c>
      <c r="T210" s="19">
        <v>595678</v>
      </c>
      <c r="U210" s="19">
        <v>-117147</v>
      </c>
      <c r="V210" s="47">
        <v>-19.7</v>
      </c>
      <c r="X210" s="53"/>
    </row>
    <row r="211" spans="1:24" ht="12.75" hidden="1" outlineLevel="1">
      <c r="A211" s="46" t="s">
        <v>35</v>
      </c>
      <c r="B211" s="19">
        <v>0</v>
      </c>
      <c r="C211" s="19">
        <v>0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2650219</v>
      </c>
      <c r="N211" s="19">
        <v>0</v>
      </c>
      <c r="O211" s="19">
        <v>0</v>
      </c>
      <c r="P211" s="19">
        <v>56000</v>
      </c>
      <c r="Q211" s="19">
        <v>0</v>
      </c>
      <c r="R211" s="19">
        <v>0</v>
      </c>
      <c r="S211" s="19">
        <v>2706219</v>
      </c>
      <c r="T211" s="19">
        <v>1516089</v>
      </c>
      <c r="U211" s="19">
        <v>1190130</v>
      </c>
      <c r="V211" s="47">
        <v>78.5</v>
      </c>
      <c r="X211" s="53"/>
    </row>
    <row r="212" spans="1:24" ht="12.75" hidden="1" outlineLevel="1">
      <c r="A212" s="46" t="s">
        <v>36</v>
      </c>
      <c r="B212" s="19">
        <v>0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50000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50000</v>
      </c>
      <c r="T212" s="19">
        <v>50000</v>
      </c>
      <c r="U212" s="19">
        <v>0</v>
      </c>
      <c r="V212" s="47">
        <v>0</v>
      </c>
      <c r="X212" s="53"/>
    </row>
    <row r="213" spans="1:24" ht="12.75" hidden="1" outlineLevel="1">
      <c r="A213" s="46" t="s">
        <v>37</v>
      </c>
      <c r="B213" s="19">
        <v>0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30000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30000</v>
      </c>
      <c r="T213" s="19">
        <v>30000</v>
      </c>
      <c r="U213" s="19">
        <v>0</v>
      </c>
      <c r="V213" s="47">
        <v>0</v>
      </c>
      <c r="X213" s="53"/>
    </row>
    <row r="214" spans="1:24" ht="12.75" hidden="1" outlineLevel="1">
      <c r="A214" s="46" t="s">
        <v>58</v>
      </c>
      <c r="B214" s="19">
        <v>0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2455468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2455468</v>
      </c>
      <c r="T214" s="19">
        <v>1590794</v>
      </c>
      <c r="U214" s="19">
        <v>864674</v>
      </c>
      <c r="V214" s="47">
        <v>54.4</v>
      </c>
      <c r="X214" s="53"/>
    </row>
    <row r="215" spans="1:24" ht="12.75" hidden="1" outlineLevel="1">
      <c r="A215" s="46" t="s">
        <v>66</v>
      </c>
      <c r="B215" s="19">
        <v>0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250000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250000</v>
      </c>
      <c r="T215" s="19">
        <v>250000</v>
      </c>
      <c r="U215" s="19">
        <v>0</v>
      </c>
      <c r="V215" s="47">
        <v>0</v>
      </c>
      <c r="X215" s="53"/>
    </row>
    <row r="216" spans="1:24" ht="12.75" hidden="1" outlineLevel="1">
      <c r="A216" s="46" t="s">
        <v>67</v>
      </c>
      <c r="B216" s="19">
        <v>0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250000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250000</v>
      </c>
      <c r="T216" s="19">
        <v>250000</v>
      </c>
      <c r="U216" s="19">
        <v>0</v>
      </c>
      <c r="V216" s="47">
        <v>0</v>
      </c>
      <c r="X216" s="53"/>
    </row>
    <row r="217" spans="1:24" ht="12.75" hidden="1" outlineLevel="1">
      <c r="A217" s="46" t="s">
        <v>68</v>
      </c>
      <c r="B217" s="19">
        <v>0</v>
      </c>
      <c r="C217" s="19">
        <v>0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296495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296495</v>
      </c>
      <c r="T217" s="19">
        <v>262537</v>
      </c>
      <c r="U217" s="19">
        <v>33958</v>
      </c>
      <c r="V217" s="47">
        <v>12.9</v>
      </c>
      <c r="X217" s="53"/>
    </row>
    <row r="218" spans="1:24" ht="12.75" hidden="1" outlineLevel="1">
      <c r="A218" s="46" t="s">
        <v>43</v>
      </c>
      <c r="B218" s="19">
        <v>0</v>
      </c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2636695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2636695</v>
      </c>
      <c r="T218" s="19">
        <v>888556</v>
      </c>
      <c r="U218" s="19">
        <v>1748139</v>
      </c>
      <c r="V218" s="47">
        <v>196.7</v>
      </c>
      <c r="X218" s="53"/>
    </row>
    <row r="219" spans="1:24" ht="12.75" hidden="1" outlineLevel="1">
      <c r="A219" s="46" t="s">
        <v>78</v>
      </c>
      <c r="B219" s="19">
        <v>0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9262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9262</v>
      </c>
      <c r="T219" s="19">
        <v>13471</v>
      </c>
      <c r="U219" s="19">
        <v>-4209</v>
      </c>
      <c r="V219" s="47">
        <v>-31.2</v>
      </c>
      <c r="X219" s="53"/>
    </row>
    <row r="220" spans="1:24" ht="12.75" hidden="1" outlineLevel="1">
      <c r="A220" s="46" t="s">
        <v>62</v>
      </c>
      <c r="B220" s="19">
        <v>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2426460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2426460</v>
      </c>
      <c r="T220" s="19">
        <v>1569112</v>
      </c>
      <c r="U220" s="19">
        <v>857348</v>
      </c>
      <c r="V220" s="47">
        <v>54.6</v>
      </c>
      <c r="X220" s="53"/>
    </row>
    <row r="221" spans="1:24" ht="12.75" hidden="1" outlineLevel="1">
      <c r="A221" s="46" t="s">
        <v>63</v>
      </c>
      <c r="B221" s="19">
        <v>0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1714435</v>
      </c>
      <c r="O221" s="19">
        <v>0</v>
      </c>
      <c r="P221" s="19">
        <v>0</v>
      </c>
      <c r="Q221" s="19">
        <v>0</v>
      </c>
      <c r="R221" s="19">
        <v>0</v>
      </c>
      <c r="S221" s="19">
        <v>1714435</v>
      </c>
      <c r="T221" s="19">
        <v>910619</v>
      </c>
      <c r="U221" s="19">
        <v>803816</v>
      </c>
      <c r="V221" s="47">
        <v>88.3</v>
      </c>
      <c r="X221" s="53"/>
    </row>
    <row r="222" spans="1:24" ht="12.75" hidden="1" outlineLevel="1">
      <c r="A222" s="46" t="s">
        <v>81</v>
      </c>
      <c r="B222" s="19">
        <v>0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19363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19363</v>
      </c>
      <c r="T222" s="19">
        <v>118335</v>
      </c>
      <c r="U222" s="19">
        <v>-98972</v>
      </c>
      <c r="V222" s="47">
        <v>-83.6</v>
      </c>
      <c r="X222" s="53"/>
    </row>
    <row r="223" spans="1:24" ht="12.75" hidden="1" outlineLevel="1">
      <c r="A223" s="46" t="s">
        <v>64</v>
      </c>
      <c r="B223" s="1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4606747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4606747</v>
      </c>
      <c r="T223" s="19">
        <v>2553927</v>
      </c>
      <c r="U223" s="19">
        <v>2052820</v>
      </c>
      <c r="V223" s="47">
        <v>80.4</v>
      </c>
      <c r="X223" s="53"/>
    </row>
    <row r="224" spans="1:24" ht="13.5" hidden="1" outlineLevel="1" thickBot="1">
      <c r="A224" s="4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49"/>
      <c r="X224" s="53"/>
    </row>
    <row r="225" spans="1:24" ht="13.5" hidden="1" outlineLevel="1" thickBot="1">
      <c r="A225" s="50" t="s">
        <v>84</v>
      </c>
      <c r="B225" s="51">
        <v>198116</v>
      </c>
      <c r="C225" s="51">
        <v>57798</v>
      </c>
      <c r="D225" s="51">
        <v>0</v>
      </c>
      <c r="E225" s="51">
        <v>164329</v>
      </c>
      <c r="F225" s="51">
        <v>0</v>
      </c>
      <c r="G225" s="51">
        <v>161860</v>
      </c>
      <c r="H225" s="51">
        <v>150144</v>
      </c>
      <c r="I225" s="51">
        <v>160460</v>
      </c>
      <c r="J225" s="51">
        <v>0</v>
      </c>
      <c r="K225" s="51">
        <v>993028</v>
      </c>
      <c r="L225" s="51">
        <v>1276123</v>
      </c>
      <c r="M225" s="51">
        <v>16672442</v>
      </c>
      <c r="N225" s="51">
        <v>2842846</v>
      </c>
      <c r="O225" s="51">
        <v>0</v>
      </c>
      <c r="P225" s="51">
        <v>184358</v>
      </c>
      <c r="Q225" s="51">
        <v>0</v>
      </c>
      <c r="R225" s="51">
        <v>35347</v>
      </c>
      <c r="S225" s="51">
        <v>22896851</v>
      </c>
      <c r="T225" s="51">
        <v>16483332</v>
      </c>
      <c r="U225" s="51">
        <v>6413519</v>
      </c>
      <c r="V225" s="52">
        <v>38.9</v>
      </c>
      <c r="X225" s="53"/>
    </row>
    <row r="226" ht="13.5" hidden="1" outlineLevel="1" thickTop="1"/>
    <row r="227" ht="12.75" hidden="1"/>
    <row r="228" spans="1:19" s="55" customFormat="1" ht="12.75" hidden="1">
      <c r="A228" s="55" t="s">
        <v>85</v>
      </c>
      <c r="B228" s="56">
        <f>B176+B203+B225</f>
        <v>1620874</v>
      </c>
      <c r="C228" s="56">
        <f aca="true" t="shared" si="19" ref="C228:S228">C176+C203+C225</f>
        <v>819833</v>
      </c>
      <c r="D228" s="56">
        <f t="shared" si="19"/>
        <v>185820</v>
      </c>
      <c r="E228" s="56">
        <f t="shared" si="19"/>
        <v>5662818</v>
      </c>
      <c r="F228" s="56">
        <f t="shared" si="19"/>
        <v>0</v>
      </c>
      <c r="G228" s="56">
        <f t="shared" si="19"/>
        <v>1809192</v>
      </c>
      <c r="H228" s="56">
        <f t="shared" si="19"/>
        <v>1516989</v>
      </c>
      <c r="I228" s="56">
        <f t="shared" si="19"/>
        <v>5561601</v>
      </c>
      <c r="J228" s="56">
        <f t="shared" si="19"/>
        <v>1935612</v>
      </c>
      <c r="K228" s="56">
        <f t="shared" si="19"/>
        <v>8713347</v>
      </c>
      <c r="L228" s="56">
        <f t="shared" si="19"/>
        <v>13865152</v>
      </c>
      <c r="M228" s="56">
        <f t="shared" si="19"/>
        <v>96024849</v>
      </c>
      <c r="N228" s="56">
        <f t="shared" si="19"/>
        <v>126019844</v>
      </c>
      <c r="O228" s="56">
        <f t="shared" si="19"/>
        <v>46940276</v>
      </c>
      <c r="P228" s="56">
        <f t="shared" si="19"/>
        <v>1154643</v>
      </c>
      <c r="Q228" s="56">
        <f t="shared" si="19"/>
        <v>203141257</v>
      </c>
      <c r="R228" s="56">
        <f t="shared" si="19"/>
        <v>23682821</v>
      </c>
      <c r="S228" s="56">
        <f t="shared" si="19"/>
        <v>538654928</v>
      </c>
    </row>
    <row r="229" ht="12.75" hidden="1"/>
    <row r="230" ht="12.75" hidden="1"/>
    <row r="231" ht="12.75" hidden="1"/>
  </sheetData>
  <sheetProtection/>
  <conditionalFormatting sqref="B95:V96">
    <cfRule type="cellIs" priority="1" dxfId="0" operator="greaterThan">
      <formula>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Texas Toll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Freeman, Olen</cp:lastModifiedBy>
  <cp:lastPrinted>2019-11-06T20:20:52Z</cp:lastPrinted>
  <dcterms:created xsi:type="dcterms:W3CDTF">2018-10-17T18:32:00Z</dcterms:created>
  <dcterms:modified xsi:type="dcterms:W3CDTF">2022-09-22T14:07:46Z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S23RUA2WJYU2-286-1843</vt:lpwstr>
  </property>
  <property fmtid="{D5CDD505-2E9C-101B-9397-08002B2CF9AE}" pid="4" name="_dlc_DocIdItemGu">
    <vt:lpwstr>48df6771-8969-4db9-bff3-1d422b9fc012</vt:lpwstr>
  </property>
  <property fmtid="{D5CDD505-2E9C-101B-9397-08002B2CF9AE}" pid="5" name="_dlc_DocIdU">
    <vt:lpwstr>http://wvprodshptweb01:8080/whatwedo/fin_invest_info/financial_Info/_layouts/DocIdRedir.aspx?ID=S23RUA2WJYU2-286-1843, S23RUA2WJYU2-286-1843</vt:lpwstr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pportunityTy">
    <vt:lpwstr>Consulting Services</vt:lpwstr>
  </property>
  <property fmtid="{D5CDD505-2E9C-101B-9397-08002B2CF9AE}" pid="9" name="PublishingContactPictu">
    <vt:lpwstr/>
  </property>
  <property fmtid="{D5CDD505-2E9C-101B-9397-08002B2CF9AE}" pid="10" name="PublishingContactNa">
    <vt:lpwstr/>
  </property>
  <property fmtid="{D5CDD505-2E9C-101B-9397-08002B2CF9AE}" pid="11" name="Commen">
    <vt:lpwstr/>
  </property>
  <property fmtid="{D5CDD505-2E9C-101B-9397-08002B2CF9AE}" pid="12" name="PublishingContactEma">
    <vt:lpwstr/>
  </property>
</Properties>
</file>